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F2F15C6F-1BE8-4E42-BC67-9255AC1B5B3E}" xr6:coauthVersionLast="47" xr6:coauthVersionMax="47" xr10:uidLastSave="{00000000-0000-0000-0000-000000000000}"/>
  <bookViews>
    <workbookView xWindow="60750" yWindow="6480" windowWidth="18360" windowHeight="12885" firstSheet="5" activeTab="6" xr2:uid="{16A9D38A-8BA2-4521-8902-B74155175FE0}"/>
  </bookViews>
  <sheets>
    <sheet name="Resilience ranking =&gt;" sheetId="38" r:id="rId1"/>
    <sheet name="Methodology - resilience" sheetId="35" r:id="rId2"/>
    <sheet name="Resilience recap" sheetId="34" r:id="rId3"/>
    <sheet name="EU resilience" sheetId="33" r:id="rId4"/>
    <sheet name="Supply chain ranking =&gt;" sheetId="37" r:id="rId5"/>
    <sheet name="Methodology" sheetId="26" r:id="rId6"/>
    <sheet name="Recap" sheetId="20" r:id="rId7"/>
    <sheet name="Recap (detailed)" sheetId="31" r:id="rId8"/>
    <sheet name="Batt. material supply chain" sheetId="12" r:id="rId9"/>
    <sheet name="Battery materials details" sheetId="4" r:id="rId10"/>
    <sheet name="Units conversion" sheetId="6" r:id="rId11"/>
    <sheet name="Battery cell strategy" sheetId="17" r:id="rId12"/>
    <sheet name="Battery cell manufacturing" sheetId="3" r:id="rId13"/>
    <sheet name="Battery chemistry" sheetId="16" r:id="rId14"/>
    <sheet name="Battery recycling" sheetId="5" r:id="rId15"/>
    <sheet name="Responsible supply chain" sheetId="23" r:id="rId16"/>
    <sheet name="Responsible supply chain detail" sheetId="22" r:id="rId17"/>
  </sheets>
  <definedNames>
    <definedName name="_xlnm._FilterDatabase" localSheetId="8" hidden="1">'Batt. material supply chain'!$B$2:$T$14</definedName>
    <definedName name="_xlnm._FilterDatabase" localSheetId="12" hidden="1">'Battery cell manufacturing'!$A$1:$K$13</definedName>
    <definedName name="_xlnm._FilterDatabase" localSheetId="11" hidden="1">'Battery cell strategy'!$B$2:$K$2</definedName>
    <definedName name="_xlnm._FilterDatabase" localSheetId="13" hidden="1">'Battery chemistry'!$A$1:$I$13</definedName>
    <definedName name="_xlnm._FilterDatabase" localSheetId="9" hidden="1">'Battery materials details'!$A$1:$AI$13</definedName>
    <definedName name="_xlnm._FilterDatabase" localSheetId="14" hidden="1">'Battery recycling'!$A$1:$G$13</definedName>
    <definedName name="_xlnm._FilterDatabase" localSheetId="3" hidden="1">'EU resilience'!$A$1:$T$18</definedName>
    <definedName name="_xlnm._FilterDatabase" localSheetId="6" hidden="1">Recap!$B$2:$F$2</definedName>
    <definedName name="_xlnm._FilterDatabase" localSheetId="2" hidden="1">'Resilience recap'!$B$2:$I$13</definedName>
    <definedName name="_xlnm._FilterDatabase" localSheetId="15" hidden="1">'Responsible supply chain'!$B$2:$R$2</definedName>
    <definedName name="_xlnm._FilterDatabase" localSheetId="16" hidden="1">'Responsible supply chain detail'!$A$1:$AG$13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 i="12" l="1"/>
  <c r="E19" i="26"/>
  <c r="I13" i="16"/>
  <c r="I12" i="16"/>
  <c r="I11" i="16"/>
  <c r="I10" i="16"/>
  <c r="I9" i="16"/>
  <c r="I8" i="16"/>
  <c r="I7" i="16"/>
  <c r="I6" i="16"/>
  <c r="I5" i="16"/>
  <c r="I4" i="16"/>
  <c r="I3" i="16"/>
  <c r="I2" i="16"/>
  <c r="M13" i="22"/>
  <c r="M12" i="22"/>
  <c r="M11" i="22"/>
  <c r="M10" i="22"/>
  <c r="M9" i="22"/>
  <c r="M8" i="22"/>
  <c r="M7" i="22"/>
  <c r="M6" i="22"/>
  <c r="M5" i="22"/>
  <c r="M4" i="22"/>
  <c r="M3" i="22"/>
  <c r="M2" i="22"/>
  <c r="C5" i="16"/>
  <c r="C13" i="16"/>
  <c r="C4" i="16"/>
  <c r="C3" i="16"/>
  <c r="C12" i="16"/>
  <c r="C11" i="16"/>
  <c r="C10" i="16"/>
  <c r="C9" i="16"/>
  <c r="C8" i="16"/>
  <c r="C7" i="16"/>
  <c r="C2" i="16"/>
  <c r="C6" i="16"/>
  <c r="C5" i="35" l="1"/>
  <c r="C7" i="35" s="1"/>
  <c r="T11" i="33"/>
  <c r="T12" i="33"/>
  <c r="T6" i="33"/>
  <c r="T4" i="33"/>
  <c r="T5" i="33"/>
  <c r="T3" i="33"/>
  <c r="T9" i="33"/>
  <c r="T10" i="33"/>
  <c r="T7" i="33"/>
  <c r="T2" i="33"/>
  <c r="T8" i="33"/>
  <c r="E12" i="26" l="1"/>
  <c r="E9" i="26"/>
  <c r="AG8" i="22" l="1"/>
  <c r="AG12" i="22"/>
  <c r="AG10" i="22"/>
  <c r="AG11" i="22"/>
  <c r="AG9" i="22"/>
  <c r="AG7" i="22"/>
  <c r="AG3" i="22"/>
  <c r="AG6" i="22"/>
  <c r="AG5" i="22"/>
  <c r="AG4" i="22"/>
  <c r="AG13" i="22"/>
  <c r="AG2" i="22"/>
  <c r="G8" i="4"/>
  <c r="G10" i="4" l="1"/>
  <c r="O10" i="4"/>
  <c r="Y4" i="4" l="1"/>
  <c r="Y5" i="4"/>
  <c r="Y6" i="4"/>
  <c r="Y7" i="4"/>
  <c r="Y11" i="4"/>
  <c r="Y12" i="4"/>
  <c r="Q10" i="4"/>
  <c r="Q11" i="4"/>
  <c r="Q12" i="4"/>
  <c r="P14" i="4"/>
  <c r="Q6" i="4"/>
  <c r="Q7" i="4"/>
  <c r="I6" i="4"/>
  <c r="I7" i="4"/>
  <c r="X14" i="4" l="1"/>
  <c r="H14" i="4"/>
  <c r="H16" i="4"/>
  <c r="Q4" i="4"/>
  <c r="I12" i="4"/>
  <c r="I10" i="4"/>
  <c r="G9" i="4" l="1"/>
  <c r="I9" i="4" s="1"/>
  <c r="E28" i="26"/>
  <c r="E20" i="26"/>
  <c r="E5" i="26" l="1"/>
  <c r="E13" i="26" s="1"/>
  <c r="E29" i="26" s="1"/>
  <c r="G13" i="4" l="1"/>
  <c r="I13" i="4" s="1"/>
  <c r="B4" i="6"/>
  <c r="G5" i="4" s="1"/>
  <c r="W13" i="4" l="1"/>
  <c r="W9" i="4"/>
  <c r="W8" i="4"/>
  <c r="G11" i="4"/>
  <c r="I8" i="4"/>
  <c r="I5" i="4"/>
  <c r="G4" i="4"/>
  <c r="G2" i="4"/>
  <c r="O13" i="4"/>
  <c r="Q13" i="4" s="1"/>
  <c r="O9" i="4"/>
  <c r="Q9" i="4" s="1"/>
  <c r="O5" i="4"/>
  <c r="Q8" i="4" l="1"/>
  <c r="I11" i="4"/>
  <c r="Y8" i="4"/>
  <c r="Y9" i="4"/>
  <c r="Y13" i="4"/>
  <c r="I4" i="4"/>
  <c r="Q5" i="4"/>
  <c r="G14" i="4"/>
  <c r="O14" i="4"/>
  <c r="Q14" i="4" s="1"/>
  <c r="W14" i="4"/>
  <c r="Y14" i="4" s="1"/>
  <c r="I14" i="4" l="1"/>
  <c r="H17" i="4"/>
  <c r="I2" i="4" l="1"/>
  <c r="Y2" i="4" l="1"/>
  <c r="Q2" i="4"/>
  <c r="H18" i="4" l="1"/>
</calcChain>
</file>

<file path=xl/sharedStrings.xml><?xml version="1.0" encoding="utf-8"?>
<sst xmlns="http://schemas.openxmlformats.org/spreadsheetml/2006/main" count="1246" uniqueCount="695">
  <si>
    <t>OEM</t>
  </si>
  <si>
    <t>BMW</t>
  </si>
  <si>
    <t>Ford</t>
  </si>
  <si>
    <t>Hyundai-Kia</t>
  </si>
  <si>
    <t>JLR</t>
  </si>
  <si>
    <t>Renault</t>
  </si>
  <si>
    <t>Stellantis</t>
  </si>
  <si>
    <t>Tesla</t>
  </si>
  <si>
    <t>Toyota</t>
  </si>
  <si>
    <t>Volvo Cars</t>
  </si>
  <si>
    <t>VW</t>
  </si>
  <si>
    <t>Mercedes-Benz</t>
  </si>
  <si>
    <t>CATL: https://group.mercedes-benz.com/innovation/digitalisation/industry-4-0/article-2.html</t>
  </si>
  <si>
    <t>CATL (Germany)</t>
  </si>
  <si>
    <t>https://www.driving.co.uk/news/environmental-concerns-mount-use-nickel-evs/</t>
  </si>
  <si>
    <t>Strategy</t>
  </si>
  <si>
    <t>Mercedes-Benz AG does not source cobalt directly. 
Direct sourcing under consideration.</t>
  </si>
  <si>
    <t>https://group.mercedes-benz.com/sustainability/human-rights/supply-chain/cobalt.html
Under consideration: https://group.mercedes-benz.com/dokumente/konzern/sonstiges/daimler-mercedes-benz-strategy-update-electric-drive.pdf</t>
  </si>
  <si>
    <t>Direct sourcing under consideration.</t>
  </si>
  <si>
    <t>Under consideration: https://group.mercedes-benz.com/dokumente/konzern/sonstiges/daimler-mercedes-benz-strategy-update-electric-drive.pdf</t>
  </si>
  <si>
    <t>With Rock Tech Lithium, roadmap to achieving CO₂ neutral production of lithium hydroxide by the end of 2030</t>
  </si>
  <si>
    <t>https://group.mercedes-benz.com/company/news/mercedes-benz-rocktech-lithium.html</t>
  </si>
  <si>
    <t>https://group.mercedes-benz.com/company/news/memorandum-of-understanding-canada.html</t>
  </si>
  <si>
    <t>Not much clarity on Cobalt as they have a strategic partnership w/SK Innovation. No mention in their sustainability report.</t>
  </si>
  <si>
    <t>https://media.renaultgroup.com/renault-group-and-managem-group-sign-an-agreement-for-a-sustainable-supply-of-moroccan-cobalt/</t>
  </si>
  <si>
    <t>Terrafame (Finland): long-term supply of sustainable nickel sulphate sufficient for more than 200,000 EV’s annually</t>
  </si>
  <si>
    <t>Managem Group (Morocco): agreement for a sustainable supply of 5,000 tonnes of cobalt sulphate per year for 7 years, starting in 2025</t>
  </si>
  <si>
    <t>Member of CSR Europe Drive Sustainability</t>
  </si>
  <si>
    <t>Responsible Minerals Initiative
Member of CSR Europe Drive Sustainability</t>
  </si>
  <si>
    <t>RMI: https://www.responsiblemineralsinitiative.org/about/members-and-collaborations/
CSR Europe: https://www.csreurope.org/drive-sustainability</t>
  </si>
  <si>
    <t>CSR Europe: https://www.csreurope.org/drive-sustainability</t>
  </si>
  <si>
    <t>Circulor: https://www.edie.net/jaguar-land-rover-invests-in-blockchain-for-sustainable-materials-sourcing/</t>
  </si>
  <si>
    <t>Initiatives &amp; Networks</t>
  </si>
  <si>
    <t>Responsible Minerals Initiative
Member of CSR Europe Drive Sustainability
Responsible Business Aliance  (RBA)</t>
  </si>
  <si>
    <t>RMI: https://www.responsiblemineralsinitiative.org/about/members-and-collaborations/
CSR Europe: https://www.csreurope.org/drive-sustainability
RBA: https://www.responsiblebusiness.org/about/members/</t>
  </si>
  <si>
    <t>Quantity secured</t>
  </si>
  <si>
    <t>5,000 tonnes of cobalt sulphate per year</t>
  </si>
  <si>
    <t>Vulcan: CO2 free lithium in the Upper Rhine Valley using a local and lithium-rich geothermal brine</t>
  </si>
  <si>
    <t>Vulcan: https://www.volkswagen-newsroom.com/en/press-releases/volkswagen-enters-into-strategic-partnerships-for-the-industrialization-of-battery-technology-7680</t>
  </si>
  <si>
    <t>VW plans to invest in mines to bring down the cost of battery cells, meet half of its own demand and sell to third-party customers.
PowerCo is planning to establish a new, dedicated liaison office in Canada. A key focus of cooperation is the supply of critical raw materials such as lithium, nickel and cobalt.</t>
  </si>
  <si>
    <t>Half demand: https://www.reuters.com/business/autos-transportation/volkswagen-invest-mines-bid-become-global-battery-supplier-2023-03-17/
Canada: https://www.volkswagen-newsroom.com/en/press-releases/volkswagen-group-and-canada-aim-to-advance-sustainable-battery-supply-chain-in-north-america-15125</t>
  </si>
  <si>
    <t>JV with Huayou Cobalt and Tsingshan (Indonesia)</t>
  </si>
  <si>
    <t>Annual output of around 15,000 tonnes of cobalt, worth 160 gigawatt hours</t>
  </si>
  <si>
    <t>JV: https://www.reuters.com/business/autos-transportation/volkswagen-china-says-will-form-ventures-with-huayou-cobalt-tsingshan-group-2022-03-21/</t>
  </si>
  <si>
    <t>Direct sourcing of critical raw materials from producers
BMW don't think it is right to invest in mines</t>
  </si>
  <si>
    <t>Direct sourcing: https://www.automotiveworld.com/news-releases/bmw-group-steps-up-sustainable-sourcing-of-lithium-for-battery-cell-production-to-ensure-rapid-e-mobility-expansion/
Investment: https://www.reuters.com/business/autos-transportation/bmw-bets-design-recycling-not-mining-lower-battery-costs-finance-chief-2023-03-31/</t>
  </si>
  <si>
    <t>12,000 tons of cobalt sulphate in total over an initial five-year period</t>
  </si>
  <si>
    <t>Other metals (Manganese, Copper,…)</t>
  </si>
  <si>
    <t>Liliac Solutions: https://www.electrive.com/2021/10/07/bmw-invests-in-new-lithium-mining-process/
Mangrove Lithium: https://www.bmwiventures.com/news/green-lithium-refining-our-investment-in-mangrove-lithium</t>
  </si>
  <si>
    <t>Lilac Solutions (US): Lilac has developed an innovative process for the environmentally friendly and resource-saving mining of lithium
Mangrove Lithium (Canada): investment to develop a lithium-refining solution for producing battery-grade lithium hydroxide and carbonate with reduced total energy consumption</t>
  </si>
  <si>
    <t>BHP (Australian mine): Memorandum of Understanding (MOU) to supply of nickel sulphate from BHP’s new production plant in Nickel West Western Australia to PPES (Toyota-Panasonic JV)</t>
  </si>
  <si>
    <t>BHP: https://www.bhp.com/news/media-centre/releases/2021/10/bhp-ppes-and-toyota-tsusho-corporation-enter-into-mou</t>
  </si>
  <si>
    <t>Indonesia: ore provided by PT Vale Indonesia from its Pomalaa Block mine for the the Pomalaa Block High-Pressure Acid Leaching Project (equity investments from Ford, PT Vale Indonesia and Zhejiang Huayou Cobalt), operation starting in 2026
Vale (Canada): non-binding MOU to explore potential opportunities
Huayou Cobalt: off-take agreement
BHP (Australia): Memorandum of Understanding to explore options to supply nickel from its Nickel West asset in Western Australia, the targeted multi-year agreement could start as early as 2025</t>
  </si>
  <si>
    <t>Syrah: https://themarketherald.com.au/syrah-resources-asxsyr-signs-mou-with-ford-and-sk-on-2022-07-22/</t>
  </si>
  <si>
    <t>Benchmark: Ford has secured more than 90% of the lithium and nickel inputs it requires to meet its 2 million a year capacity target
vertical integration is the key to solving potential shortages of battery raw materials for electric vehicles
direct control to source nickel</t>
  </si>
  <si>
    <t>Benchmark: https://source.benchmarkminerals.com/article/ford-signs-five-lithium-deals-to-secure-north-american-and-ira-compliant-supply
Vertical integration: https://www.reuters.com/business/autos-transportation/fords-ev-guru-field-talks-bottlenecks-opportunities-2022-11-07/
Nickel: https://media.ford.com/content/fordmedia/fna/us/en/news/2023/03/30/pt-vale-indonesia-and-huayou-sign-nickel-agreement-with-ford-mot.html</t>
  </si>
  <si>
    <t>Copper: https://www.electrive.com/2023/06/12/vw-stellantis-glencore-invest-in-brazilian-mines/</t>
  </si>
  <si>
    <t>Manganese: https://www.stellantis.com/en/news/press-releases/2023/january/stellantis-signs-binding-agreement-with-element-25-limited-for-manganese-sulphate-supply-for-electric-vehicle-batteries
McEwenCopper: https://www.stellantis.com/en/news/press-releases/2023/february/stellantis-announces-strategic-copper-investment-in-argentina-reinforcing-commitment-to-reaching-carbon-net-zero-by-2038
ACG: https://www.electrive.com/2023/06/12/vw-stellantis-glencore-invest-in-brazilian-mines/</t>
  </si>
  <si>
    <t>Total volume of 45,000 tonnes of manganese sulphate. In the first year of 2026, the Australian company is to supply 5,000 tonnes, followed by 10,000 tonnes in each of the four subsequent years</t>
  </si>
  <si>
    <t>Ioneer (US): binding agreements for lithium from the Rhyolite Ridge mining project in Nevada, start end of 2025
Liontown Resources (Australia): supply agreement of lithium spodumene concentrate Kathleen Valley project in Western Australia for 5 years
Rio Tinto (Argentina): non-binding global memorandum of understanding to explore supply from the Rincon lithium project in Argentina and work Ford toward a significant lithium off-take agreement
Compass Minerals (US): binding supply agreement (five-year term) battery-grade lithium carbonate from the Ogden, Utah, lithium brine development project.
Lake Resources (Argentina): preliminary deal (MoU) for lithium from direct lithium extraction
SQM (Chile): long-term strategic agreement for the supply of battery-grade lithium carbonate and lithium hydroxide
Albermarle (IRA compliant): strategic agreement for battery-grade lithium hydroxide, five-year supply agreement starting in 2026
Nemaska Lithium (Canada): long-term lithium hydroxide supply agreement over an 11-year period (spodumene concentrate from its Whabouchi mine before the hydroxide production starts)
ESM (US): binding  supply contract for lithium hydroxide produced at ESM's Project ATLiS (geothermal brine), located in Imperial Valley California, expected to start in 2025</t>
  </si>
  <si>
    <t>Ford has sourced most of the nickel needed through 2026 and beyond
Huayou: 84 kilotons per annum (ktpa) of nickel (Wood Mackenzie = 82GWh in 2030)</t>
  </si>
  <si>
    <t xml:space="preserve">European Lithium: https://wcsecure.weblink.com.au/pdf/EUR/02615350.pdf
https://www.automotiveworld.com/news-releases/bmw-group-steps-up-sustainable-sourcing-of-lithium-for-battery-cell-production-to-ensure-rapid-e-mobility-expansion/
Livent: https://www.press.bmwgroup.com/usa/article/detail/T0328874EN_US/bmw-group-steps-up-sustainable-sourcing-of-lithium-for-battery-cell-production-to-ensure-rapid-e-mobility-expansion?language=en_US
</t>
  </si>
  <si>
    <t>European Lithium: approximately 50,000 metric tonnes of battery grade lithium hydroxide in  total: 5,000 metric tonnes in 2026, and 9,000 metric tonnes each year thereafter</t>
  </si>
  <si>
    <t>Managem Group: https://www.press.bmwgroup.com/global/article/detail/T0310907EN/raw-material-supplies-for-battery-cells:-bmw-group-sources-sustainable-cobalt-worth-around-100-million-euros-from-morocco
Glencore: https://www.reuters.com/article/us-bmw-electric-cobalt-idUSKCN1RZ1RK</t>
  </si>
  <si>
    <t>RockTech: 10,000 tonnes of lithium hydroxide annually, enough for 150,000 cars a year</t>
  </si>
  <si>
    <t>JV: Annual output of around 120,000 tonnes of nickel, worth 160 gigawatt hours</t>
  </si>
  <si>
    <t>Lake Resources: https://www.reuters.com/business/autos-transportation/ford-inks-argentina-lithium-supply-deal-with-lake-resources-2022-04-11/
ESM: https://www.prnewswire.com/news-releases/energysource-minerals-esm-announces-contract-with-ford-for-geothermal-lithium-301830259.html</t>
  </si>
  <si>
    <t>Alliance Nickel (Australia): Binding offtake agreement of battery-grade cobalt from the NiWest project for an initial five-year period + 11.5% shareholding
Kuniko (Norway): binding offtake term sheet agreement for cobalt sulphate from Kuniko’s Norwegian exploration projects for a term of nine years + 19.99% shareholding</t>
  </si>
  <si>
    <t>Alliance Nickel: https://www.media.stellantis.com/em-en/corporate-communications/press/stellantis-signs-offtake-agreement-and-invests-in-alliance-nickel-for-battery-grade-nickel-and-cobalt-sulphate
Kuniko: https://www.stellantis.com/en/news/press-releases/2023/june/stellantis-signs-offtake-terms-and-invests-in-kuniko-for-supply-of-norwegian-low-carbon-nickel-and-cobalt-sulphate</t>
  </si>
  <si>
    <t>Stellantis orders other battery materials from raw material companies itself, instead of relying on its battery partners</t>
  </si>
  <si>
    <t>https://www.electrive.com/2023/06/30/stellantis-invests-in-commodities-company-kuniko/</t>
  </si>
  <si>
    <t>ioneer: https://www.reuters.com/technology/toyota-panasonic-battery-jv-buy-lithium-ioneers-nevada-mine-2022-07-31/
Toyota Tsusho: https://www.reuters.com/markets/asia/toyota-tsusho-fears-other-countries-may-follow-chile-curb-raw-minerals-exports-2023-04-27/
ALLkem: https://www.reuters.com/markets/deals/top-shareholder-toyota-quite-positive-allkem-livent-tie-up-allkem-2023-05-11/</t>
  </si>
  <si>
    <t>Compound</t>
  </si>
  <si>
    <t>Li hydroxide monohydrate</t>
  </si>
  <si>
    <t>Li carbonate</t>
  </si>
  <si>
    <t>Assumption</t>
  </si>
  <si>
    <t>Ioneer: 7,000 tonnes of lithium carbonate annually for five years to BlueOvalSK (Ford's JV with SK Innovation) (Wood Mackenzie = 8GWh in 2030)
Liontown: 150,000 dry metric tonnes (DMT) of lithium spodumene concentrate each year for five years 
Compass: 40% of annual 35 kMT lithium carbonate equivalent (LCE) once fully operational, with an initial phase-one capacity of approximately 11 kMT battery-grade lithium carbonate coming online in 2025
Lake Ressources: 25,000 tonnes annually
Albermarle: more than 100,000 metric tons of battery-grade lithium hydroxide for approximately 3 million future Ford EV batteries (over 5 year)
Nemaska: up to 13,000 tons of lithium hydroxide per year</t>
  </si>
  <si>
    <t>Ioneer: https://www.reuters.com/business/autos-transportation/ford-buy-lithium-ioneer-american-ev-battery-plant-2022-07-21/
Liontown: https://www.reuters.com/business/autos-transportation/australias-liontown-signs-5-year-lithium-supply-deal-with-ford-motor-2022-06-28/
Rio Tinto: https://www.riotinto.com/en/news/releases/2022/ford-rio-tinto-sign-mou-for-battery-and-low-carbon-materials-supply-to-support-net-zero-future
Compass: https://investors.compassminerals.com/investors-relations/investor-news/press-release-details/2023/Compass-Minerals-Signs-Binding-Multiyear-Agreement-to-Supply-Ford-Motor-Company-with-Battery-Grade-Lithium-Carbonate/default.aspx 
Lake Resources: https://lakeresources.com.au/wp-content/uploads/2022/04/lke_ford_11-apr-22.pdf
SQM: https://www.sqm.com/en/noticia/sqm-anuncia-acuerdo-de-suministro-de-litio-a-largo-plazo-con-ford-motor-company/
ESM: https://www.prnewswire.com/news-releases/energysource-minerals-esm-announces-contract-with-ford-for-geothermal-lithium-301830259.html
Albermarle: https://www.albemarle.com/news/albemarle-establishes-strategic-agreement-with-ford-motor-company
Nemaska: https://nemaskalithium.com/en/ford-and-nemaska-lithium-enter-long-term-lithium-hydroxide-supply-agreement/</t>
  </si>
  <si>
    <t>Assuming Liontown contract goes up to 2030
Assuming Lake Resources contract goes up to 2030 and its mass unit is in LCE (LCE mentionned in Lake Resources webpage)
Assumin Albermarle delivery is equally split between 5 years
Assuming Nemaska reach maximum annual delivery already in 2030</t>
  </si>
  <si>
    <t>Indonesia: https://media.ford.com/content/fordmedia/fna/us/en/news/2023/03/30/pt-vale-indonesia-and-huayou-sign-nickel-agreement-with-ford-mot.html
Most need covered: https://media.ford.com/content/fordmedia/fna/us/en/news/2022/07/21/ford-battery-capacity-raw-materials-scale-evs.html
https://media.ford.com/content/fordmedia/fna/us/en/news/2022/07/21/ford-battery-capacity-raw-materials-scale-evs.html</t>
  </si>
  <si>
    <t>Mass of nickel content assumed</t>
  </si>
  <si>
    <t>15GWh - more than 200,000 EV’s annually</t>
  </si>
  <si>
    <t>Terrafame: https://www.terrafame.com/newsroom/news/terrafame-and-renault-group-agree-on-long-term-supply-of-sustainable-nickel-sulphate.html
15GWh: https://news.cision.com/terrafame/r/renault-group-to-partner-with-terrafame-for-sustainable-nickel-supply,c3496440</t>
  </si>
  <si>
    <t>15GWh</t>
  </si>
  <si>
    <t>Nickel sulphate</t>
  </si>
  <si>
    <t>Assuming Alliance Nickel contract goes up to 2030</t>
  </si>
  <si>
    <t>Alliance Nickel: 170,000 tons of nickel sulphate in total over an initial five-year period</t>
  </si>
  <si>
    <t>Assuming mass in nickel metal content</t>
  </si>
  <si>
    <t>Cobalt sulphate</t>
  </si>
  <si>
    <t>Assuming mass in cobalt metal content</t>
  </si>
  <si>
    <t>Nickel secured in 2030 (k tonnes of nickel metal content)</t>
  </si>
  <si>
    <t>% Li secured</t>
  </si>
  <si>
    <t>% Ni secured</t>
  </si>
  <si>
    <t>Cobalt secured in 2030 (k tonnes of cobalt metal content)</t>
  </si>
  <si>
    <t>% Co secured</t>
  </si>
  <si>
    <t>Sources</t>
  </si>
  <si>
    <t>Lithium secured in 2030 (k tonnes of lithium metal content)</t>
  </si>
  <si>
    <t>Lithium contracts</t>
  </si>
  <si>
    <t>Nickel contracts</t>
  </si>
  <si>
    <t>Cobalt contracts</t>
  </si>
  <si>
    <t>Vulcan: minimum of 34,000 tonnes and a maximum of 42,000 tonnes of battery grade lithium hydroxide over the duration of the contract</t>
  </si>
  <si>
    <t>BEV ambition assumed to be in line with LMCA forecast (60% BEV globally)</t>
  </si>
  <si>
    <t>GWh used instead of nickel mass (unknown)</t>
  </si>
  <si>
    <t>Australia (contracts not specified)
Intention to partner with Albemarle
Rock Tech Lithium (Canada): Supply agreement with Canadian-German-start-up Rock Tech Lithium from 2026</t>
  </si>
  <si>
    <t>ioneer Ltd (US): binding supply deal to buy lithium from a US mining project starting in 2025, it will be used for Toyota-Panasonic JV's lithium use in the US
Toyota Tsusho (Argentina): the trading company supplies some materials to Japan's top automaker Toyota Motor, they produce lithium carbonate at a mine on the Olaroz salt flat in Argentina
Allkem (Australia): 6.16% shareholding (through Toyota Tsusho Corp)</t>
  </si>
  <si>
    <t>Ioneer: 4,000 tonnes of lithium carbonate annually for five years</t>
  </si>
  <si>
    <t>Ganfeng: memorandum of understanding for long-term lithium supply for the next ten years to secure a major part of our lithium needs. 
Vulcan Energy (Germany): binding contract providing lithium hydroxide over a period of five years starting 2026</t>
  </si>
  <si>
    <t>Gangfeng: https://www.vwpress.co.uk/en-gb/releases/3721
Vulcan: https://batteriesnews.com/vulcan-energy-binding-lithium-hydroxide-agreement-volkswagen-group/</t>
  </si>
  <si>
    <t>Australia: https://group.mercedes-benz.com/sustainability/human-rights/supply-chain/lithium.html
Albermarle (p17): https://group.mercedes-benz.com/dokumente/konzern/sonstiges/daimler-mercedes-benz-strategy-update-electric-drive.pdf
Rock Tech Lithium: https://group.mercedes-benz.com/company/news/mercedes-benz-rocktech-lithium.html
10,000 tonnes: https://europe.autonews.com/automakers/vw-stellantis-tesla-push-secure-battery-materials</t>
  </si>
  <si>
    <t>Ni contract types</t>
  </si>
  <si>
    <t>Nornickel: supplier, no information</t>
  </si>
  <si>
    <t>1 MoU/non-binding agreements</t>
  </si>
  <si>
    <t>Co contract types</t>
  </si>
  <si>
    <t>Li contract types</t>
  </si>
  <si>
    <t>Managem Group (Morocco): Supply contract to cover fifth of its cobalt needs for the fifth generation of our electric drive trains from Morocco (contract until 2025). 
Glencore (Australia): The remaining four fifths of its cobalt needs from Australia.</t>
  </si>
  <si>
    <t>Quantity secured after 2025</t>
  </si>
  <si>
    <t>2 direct investment</t>
  </si>
  <si>
    <t>1 JV</t>
  </si>
  <si>
    <t>1 long-term supply/offtake agreements</t>
  </si>
  <si>
    <t>1 long-term supply/offtake agreements
1 MoU/non-binding agreements</t>
  </si>
  <si>
    <t>Processed metal contracts with company operating in the EU</t>
  </si>
  <si>
    <t>https://europe.autonews.com/automakers/ford-said-favor-lg-over-sk-turkey-battery-plant</t>
  </si>
  <si>
    <t>https://www.theguardian.com/business/2023/jul/19/tata-gigafactory-plan-fills-major-blank-for-future-uk-car-industry</t>
  </si>
  <si>
    <t>Svolt: https://svolt-eu.com/en/svolt-and-stellantis-announce-battery-partnership/</t>
  </si>
  <si>
    <t>CATL: https://europe.autonews.com/automakers/catl-build-76b-hungary-battery-plant-supply-mercedes-bmw
Samsung SDI: http://www.businesskorea.co.kr/news/articleView.html?idxno=110350
LG Chem: https://chargedevs.com/newswire/a-look-inside-lg-energy-solutions-massive-polish-battery-plant/</t>
  </si>
  <si>
    <t>https://northvolt.com/articles/the-northvolt-volvo-cars-joint-venture/</t>
  </si>
  <si>
    <t>https://europe.autonews.com/automakers/volvo-picks-catl-lg-chem-supply-batteries-ev-push</t>
  </si>
  <si>
    <t>JV with Northvolt (Sweden)</t>
  </si>
  <si>
    <t xml:space="preserve">Development: https://www.reuters.com/business/autos-transportation/mercedes-benz-lays-first-stone-new-battery-cell-campus-germany-2022-05-31/
Factorial: https://media.mercedes-benz.com/article/bc6a4267-5689-48c6-89db-f02b597af69f
ProLogium: https://group.mercedes-benz.com/company/news/220127-prologium.html
ACC: https://www.acc-emotion.com/stories/acc-prologium-partner-accelerate-development-solid-state-ev-battery
Hydro Québec: http://news.hydroquebec.com/en/press-releases/1580/hydro-quebec-partners-with-mercedes-benz-on-development-of-solid-state-battery-technologies/
StoreDOt: https://www.electrive.com/2023/05/03/storedots-battery-cells-to-be-manufactured-on-three-continents/
Sila: https://group.mercedes-benz.com/company/news/mercedes-benz-and-sila.html
IBM: https://www.biia.com/high-tech-ibm-in-partnership-with-mercedes-to-develop-new-battery-technology/
</t>
  </si>
  <si>
    <t>Development: https://media.ford.com/content/fordmedia/fna/us/en/news/2021/07/27/ford-romulus-mich-ford-ion-park.html
Solid Power: https://www.reuters.com/business/autos-transportation/solid-power-aims-ship-first-solid-state-battery-cells-by-year-end-bmw-ford-2022-06-06/</t>
  </si>
  <si>
    <t>SSB: Solid Power (US)</t>
  </si>
  <si>
    <t>SSB: Factorial (US), Solid Power (US), Ionic Materials (US), SolidEnergy Systems (US)</t>
  </si>
  <si>
    <t>Agratas: https://www.autocar.co.uk/car-news/new-cars/jlr-selects-battery-partner-450-mile-electric-cars
Ilika: https://www.ilika.com/latest-news/further-grant-support-from-faraday-battery-challenge</t>
  </si>
  <si>
    <t xml:space="preserve">SSB: Nissan, Ionic Materials (US)
Enevate (US): silicon anode </t>
  </si>
  <si>
    <t>StoreDot (Israel): extreme-fast charging battery technology</t>
  </si>
  <si>
    <t>R&amp;D: https://www.media.volvocars.com/global/en-gb/media/pressreleases/292748/volvo-cars-and-northvolt-to-open-gothenburg-randd-centre-as-part-of-sek-30bn-investment-in-battery-d
StoreDot: https://www.media.volvocars.com/global/en-gb/media/pressreleases/298545/volvo-cars-tech-fund-invests-in-battery-technology-pioneers-storedot</t>
  </si>
  <si>
    <t>SSB : Solid Power (US)
Wildcat Discovery (US): High energy cathode
Our Next Energy (US): Long range dual-chemistry battery
Sila Nano (US): silicon-dominat anode</t>
  </si>
  <si>
    <t xml:space="preserve">Development: https://europe.autonews.com/automakers/bmw-will-open-german-center-study-battery-cell-development
Solid Power: https://www.press.bmwgroup.com/global/article/detail/T0407744EN/bmw-group-and-solid-power-deepen-joint-development-partnership
Wildcat: https://www.prnewswire.com/news-releases/wildcat-discovery-signs-joint-development-agreement-with-bmw-group-to-speed-next-generation-battery-technology-to-the-market-301722626.html
One: https://one.ai/news/bmw
Sila: https://www.electrive.com/2018/03/20/sila-nano-and-bmw-working-on-next-generation-batteries/
</t>
  </si>
  <si>
    <t>Ford Ion Park: research to optimize recycling</t>
  </si>
  <si>
    <t>https://media.ford.com/content/fordmedia/fna/us/en/news/2021/04/27/ford-accelerates-battery-r-d.html</t>
  </si>
  <si>
    <t>Umicore (Belgium) and Reneos (rest of Europe)</t>
  </si>
  <si>
    <t>https://www.toyota-europe.com/sustainability/circularity</t>
  </si>
  <si>
    <t>In-house/JV/investments in recycling projects and recyling process development</t>
  </si>
  <si>
    <t>Components: https://www.volkswagen-newsroom.com/en/press-releases/transforming-old-into-new-volkswagen-group-components-commences-battery-recycling-6789
JV with Umicore: https://europe.autonews.com/automakers/vw-secures-raw-materials-part-34b-battery-push</t>
  </si>
  <si>
    <t>https://www.electrive.com/2021/04/21/volvo-to-leverage-recycling-to-cut-costs/</t>
  </si>
  <si>
    <t>In-house development of hydrometallurgical Process</t>
  </si>
  <si>
    <t>Licular: https://www.electrive.com/2022/07/05/battery-recycling-project-to-take-off-with-mercedes-in-germany/
https://group.mercedes-benz.com/company/news/recycling-factory-kuppenheim.html</t>
  </si>
  <si>
    <t xml:space="preserve">Licular subsidiary (Germany): recycling pilot plant in Kuppenheim, first stage of the plant planned end of 2023
</t>
  </si>
  <si>
    <t>Indigenous rights</t>
  </si>
  <si>
    <t xml:space="preserve">Supplier Code of Conduct: https://www.bmwgroup.com/content/dam/grpw/websites/bmwgroup_com/responsibility/downloads/en/2020/BMW_GROUP_Supplier_Sustainability_Policy_Version_2.0.pdf </t>
  </si>
  <si>
    <t>Standalone Human Rights Policy that explicitly references the UN Guiding Principles on Business and Human Rights, their membership of the UN Global Compact, and their alignment with a number of international human rights framworks and norms, including the UN Declaration of Human Rights</t>
  </si>
  <si>
    <t xml:space="preserve">Human rights: https://corporate.ford.com/content/dam/corporate/us/en-us/documents/social-impact/sustainability/additional-downloads/human-rights.zip </t>
  </si>
  <si>
    <t>Standalone human rights policy that explicitly references UN Declaration on Human Rights and the UN Guiding Principles, among other international norms.</t>
  </si>
  <si>
    <t xml:space="preserve">Human rights: https://www.hyundai.com/content/dam/hyundai/ww/en/images/company/csr/csr-materials/hmc-human-rights-policy-v2-eng.pdf </t>
  </si>
  <si>
    <t>Standalone human rights policy that explicitly references the UN Guiding Principles and UN Global Compact</t>
  </si>
  <si>
    <t xml:space="preserve">Group Code on Human Rights and Working Conditions: https://www.bmwgroup.com/content/dam/grpw/websites/bmwgroup_com/responsibility/downloads/en/2019/2019-BMW-Group-Code-on-human-rights.pdf </t>
  </si>
  <si>
    <t>Human rights</t>
  </si>
  <si>
    <t>OECD guidelines</t>
  </si>
  <si>
    <t>Responsible Lithium Partnership:  promote the responsible use of natural resources in Chile’s Salar de Atacama
Responsible Minerals Initiative (RMI)
Member of CSR Europe Drive Sustainability
Responsible Business Aliance  (RBA)</t>
  </si>
  <si>
    <t>Responsible Lithium Partnership: https://www.electrive.com/2021/06/09/vw-daimler-basf-fairphone-launch-sustainable-lithium-initiative/
RMI: https://www.responsiblemineralsinitiative.org/about/members-and-collaborations/
CSR Europe: https://www.csreurope.org/drive-sustainability
RBA: https://www.responsiblebusiness.org/about/members/</t>
  </si>
  <si>
    <t>Page 6 and 19 of ESG Data Book - https://corporate.ford.com/social-impact/sustainability.html 
Page 67 Integrated Sustainability and Financial report - https://corporate.ford.com/content/dam/corporate/us/en-us/documents/reports/integrated-sustainability-and-financial-report-2022.pdf</t>
  </si>
  <si>
    <t xml:space="preserve">Page 12 Responsible Sourcing Standards - https://supplier.mercedes-benz.com/servlet/JiveServlet/download/2672-9-3352/V052022_Responsible+Sourcing+Standards_EN.pdf 
Page 50 of Sustainability Report - https://group.mercedes-benz.com/documents/sustainability/other/mercedes-benz-sustainability-report-2021.pdf </t>
  </si>
  <si>
    <t xml:space="preserve">Page 4 Raw Minerals Report - https://www.volkswagenag.com/en/sustainability/reporting-and-esg-performance/sustainability-report.html </t>
  </si>
  <si>
    <t>Responsible Lithium Partnership:  promote the responsible use of natural resources in Chile’s Salar de Atacama
Responsible Minerals Initiative
Member of CSR Europe Drive Sustainability
Cobalt for Development Initiative</t>
  </si>
  <si>
    <t>Responsible Lithium Partnership: https://www.electrive.com/2021/06/09/vw-daimler-basf-fairphone-launch-sustainable-lithium-initiative/
RMI: https://www.responsiblemineralsinitiative.org/about/members-and-collaborations/
CSR Europe: https://www.csreurope.org/drive-sustainability
Cobalt: https://www.volkswagen-newsroom.com/en/press-releases/volkswagen-engages-in-improving-working-conditions-in-artisanal-cobalt-mines-in-the-democratic-republic-of-congo-6619</t>
  </si>
  <si>
    <t>RMI: https://www.responsiblemineralsinitiative.org/about/members-and-collaborations/
CSR Europe: https://www.csreurope.org/drive-sustainability
AIAG: https://corporate.ford.com/content/dam/corporate/us/en-us/documents/legal/Form-SD-and-CMR-for-Year-Ended-December-31-2022.pdf</t>
  </si>
  <si>
    <t>Responsible Minerals Initiative (RMI)
Member of CSR Europe Drive Sustainability
Automotive Industry Action Group (AIAG) Smelter Engagement Team to promote independent audits</t>
  </si>
  <si>
    <t>PartChain: https://siliconangle.com/2020/04/01/bmw-announces-partchain-supply-chain-blockchain-tracking-automotive-parts/</t>
  </si>
  <si>
    <t>Blockchain project Icertis</t>
  </si>
  <si>
    <t>Icertis: https://group.mercedes-benz.com/innovation/blockchain-2.html</t>
  </si>
  <si>
    <t>Standalone human rights policy that explicitly references UN Guiding Principles
Human Rights Respect System (HRSS)</t>
  </si>
  <si>
    <t>https://group.mercedes-benz.com/documents/sustainability/society/daimler-principles-of-social-responsibility-and-human-rights-en-20211124.pdf 
HRSS: https://group.mercedes-benz.com/sustainability/human-rights/hrrs/</t>
  </si>
  <si>
    <t xml:space="preserve">IBM Blockchain to track cobalt (Responsible Sourcing Blockchain Network)
</t>
  </si>
  <si>
    <t xml:space="preserve">IBM: https://newsroom.ibm.com/2019-01-16-Ford-Motor-Company-Huayou-Cobalt-IBM-LG-Chem-and-RCS-Global-Launch-Blockchain-Pilot-to-Address-Concerns-in-Strategic-Mineral-Supply-Chains
</t>
  </si>
  <si>
    <t>Invested in Circulor: blockchain technology for sustainable materials sourcing</t>
  </si>
  <si>
    <t>Blockchain: https://www.electrive.com/2021/06/30/volvos-tech-roadmap-targets-range-and-fast-charging/</t>
  </si>
  <si>
    <t>Circulor’s blockchain technology : developed in cooperation with CATL and LG Chem – already used in its battery supply chain</t>
  </si>
  <si>
    <t>Responsible Sourcing Blockchain Network</t>
  </si>
  <si>
    <t>Blockchain: Responsible Sourcing Blockchain Network
Minespider: https://siliconangle.com/2019/04/23/volkswagen-puts-minespider-blockchain-use-tracking-raw-materials-batteries/</t>
  </si>
  <si>
    <t>Responsible Sourcing Blockchain Network
Partnership with Minespider (blockchain)</t>
  </si>
  <si>
    <t>Code of Conduct includes a commitment to human rights, including an explicit reference to the UN Declaration of Human Rights.</t>
  </si>
  <si>
    <t>https://www.stellantis.com/content/dam/stellantis-corporate/group/governance/code-of-conduct/Stellantis_CoC_EN.pdf</t>
  </si>
  <si>
    <t xml:space="preserve">https://global.toyota/pages/global_toyota/sustainability/esg/social/human_rights_policy_en.pdf </t>
  </si>
  <si>
    <t xml:space="preserve">https://www.volkswagenag.com/presence/nachhaltigkeit/documents/policy-intern/201209-sozialcharta_en.pdf </t>
  </si>
  <si>
    <t>Commitment to human rights and explicitly references the UN Declaration on Human Rights, in their Code of Conduct.</t>
  </si>
  <si>
    <t xml:space="preserve">https://www.volvocars.com/images/v/-/media/market-assets/intl/applications/dotcom/pdf/ethical-business/our_code_how_we_act.pdf </t>
  </si>
  <si>
    <t>PartChain Blockchain project : expects complete traceability from mine to smelter</t>
  </si>
  <si>
    <t xml:space="preserve">https://www.stellantis.com/content/dam/stellantis-corporate/sustainability/responsible-purchasing-practices/CO_LI_REFINERS_Sept_2022.pdf 
Page 286 of Sustainability Report - https://www.stellantis.com/content/dam/stellantis-corporate/sustainability/csr-disclosure/stellantis/2021/Stellantis_2021_CSR_Report.pdf </t>
  </si>
  <si>
    <t>Responsible battery minerals sourcing</t>
  </si>
  <si>
    <t xml:space="preserve">Transparency: https://www.electrive.com/2022/03/17/volkswagen-joins-initiative-for-responsible-mining/
Human Rights Policy: https://www.volkswagenag.com/presence/nachhaltigkeit/documents/policy-intern/201209-sozialcharta_en.pdf 
</t>
  </si>
  <si>
    <t>Page 176 Annual and Sustainability Report - https://vp272.alertir.com/afw/files/press/volvocar/202204044874-1.pdf</t>
  </si>
  <si>
    <t xml:space="preserve">Page 26 of Supplier Code of Conduct - https://www.vwgroupsupply.com/one-kbp-pub/media/shared_media/documents_1/nachhaltigkeit/brochure__volkswagen_group_requirements_regarding_sustainability_in_its_relationships_with_business_partners__code_of_conduct_fo/2019_coc_geschaeftspartner_final.pdf </t>
  </si>
  <si>
    <t xml:space="preserve">https://www.renaultgroup.com/wp-content/uploads/2019/03/groupe-renault-policy-eng.pdf </t>
  </si>
  <si>
    <t xml:space="preserve">Page 6 and 12 of SCoC (titled "Responsible Sourcing Standards") - https://supplier.mercedes-benz.com/servlet/JiveServlet/download/2672-9-3352/V052022_Responsible+Sourcing+Standards_EN.pdf </t>
  </si>
  <si>
    <t xml:space="preserve">https://corporate.ford.com/operations/governance-and-policies/supplier-code-of-conduct.html </t>
  </si>
  <si>
    <t>https://supplier.mercedes-benz.com/servlet/JiveServlet/download/2672-9-3352/V052022_Responsible+Sourcing+Standards_EN.pdf 
https://group.mercedes-benz.com/dokumente/nachhaltigkeit/produktion/mercedes-benz-raw-materials-report.pdf</t>
  </si>
  <si>
    <t>Digital tracing of raw materials</t>
  </si>
  <si>
    <t>https://media.stellantisnorthamerica.com/newsrelease.do?id=21444&amp;mid=</t>
  </si>
  <si>
    <t xml:space="preserve">Page 11 of SCoC (titled "Responsible Sourcing Standards") - https://supplier.mercedes-benz.com/servlet/JiveServlet/download/2672-9-3352/V052022_Responsible+Sourcing+Standards_EN.pdf </t>
  </si>
  <si>
    <t>The Supplier Code of Conduct explicitly references the UNDRIP and FPIC</t>
  </si>
  <si>
    <t>The SCoC (titled "Responsible Sourcing Standards") states that suppliers must comply with FPIC. It does reference the ILO Convention on Indigenous and Tribal Peoples in Independent Countries.</t>
  </si>
  <si>
    <t>Standalone human rights policy that refers the UNGPs</t>
  </si>
  <si>
    <t>Standalone human rights policy that explicitly references the UN Declaration of Human Rights</t>
  </si>
  <si>
    <t>Responsible Sourcing Standards includes a commitment to the responsible sourcing of minerals and metals, and go beyond CAHRAs to include other critical raw materials. Their raw materials report outlines due diligence conducted on 24 salient minerals and metals.</t>
  </si>
  <si>
    <t>Standalone responsible minerals sourcing policy that includes CAHRAs and cobalt, mica, bauxite/aluminium, nickel and lithium.</t>
  </si>
  <si>
    <t>Sustainability report specifies that responsible minerals sourcing includes 15 minerals metals including cobalt, lithium, aluminium, and nickel.</t>
  </si>
  <si>
    <t xml:space="preserve">Responsible Minerals sourcing report specifies the actions taken with regards to 16 priority materials, including cobalt, lithium, nickel, graphite
Transparancy: since 2020 the complete supply chain up to the mine must be disclosed for all new contracts for battery raw materials
</t>
  </si>
  <si>
    <t xml:space="preserve">SCoC requires that suppliers undertake due diligence in accordance with OECD Due Diligence Guidelines. This expectation extends to cobalt, mica, etc. </t>
  </si>
  <si>
    <t>States that companies should conduct due diligence in accordance with the OECD Guidelines. This applies to CAHRAs and cobalt.</t>
  </si>
  <si>
    <t>States that companies should conduct due diligence in accordance with the OECD Guidelines. This explicitly refers to CAHRAs, however they also specify that due diligence on critical raw materials should have an OECD-compliant due diligence process.</t>
  </si>
  <si>
    <t>Member of IRMA and states that in future suppliers will be required to source exclusively from mines that "have been audited in accordance with the Standard for Responsible Mining of the Initiative for Responsible Mining Assurance (IRMA).</t>
  </si>
  <si>
    <t>Member of IRMA and have engaged key suppliers on expectations to source from suppliers committing or IRMA certified.</t>
  </si>
  <si>
    <t>Member of IRMA and plan to "progressively apply the standard within our EV battery supply chain" regarding future sourcing of mined materials from IRMA certified mines.</t>
  </si>
  <si>
    <t>Recycling</t>
  </si>
  <si>
    <t>Battery recycling</t>
  </si>
  <si>
    <t>Battery cell manufacturing in Europe</t>
  </si>
  <si>
    <t>2 lithium</t>
  </si>
  <si>
    <t>1 lithium</t>
  </si>
  <si>
    <t>IRMA details</t>
  </si>
  <si>
    <t>No</t>
  </si>
  <si>
    <t>Yes</t>
  </si>
  <si>
    <t>Plans IRMA certification for suppliers</t>
  </si>
  <si>
    <t>Responsible Minerals Initiative (RMI)</t>
  </si>
  <si>
    <t>RMI: https://www.renaultgroup.com/en/our-commitments/for-a-shared-ethics/sustainable-purchasing/</t>
  </si>
  <si>
    <t>Number of initiatives joined</t>
  </si>
  <si>
    <t>OECD guidelines at least for cobalt suppliers</t>
  </si>
  <si>
    <t>Blochain project to trace raw materials</t>
  </si>
  <si>
    <t>Has human rights policies refering to UN principles</t>
  </si>
  <si>
    <t>IRMA certification planned for suppliers</t>
  </si>
  <si>
    <t>Total (/100)</t>
  </si>
  <si>
    <t>SSB: QuantumScape (US with pilot production line planned in Germany)
24M (US): SemiSolid technology
Group14 Technologies (US): advanced silicon-carbon technology
Nano One (Canada): adavanced cathode material</t>
  </si>
  <si>
    <t>PowerCo: https://www.powerco.de/
Cellforce: https://www.cellforcegroup.com/the-cellforce-group/
Quantumscape: https://www.bloomberg.com/news/articles/2023-05-12/quantumscape-qs-chases-ev-battery-breakthrough-with-new-hedge
24M: https://www.electrive.com/2022/01/19/vw-to-take-over-25-of-24m-technologies/
Group14 Technologies: https://newsroom.porsche.com/en/2022/company/porsche-group14-technologies-producer-battery-material-investment-28218.html
Nano One: https://seekingalpha.com/article/4414261-nano-one-vw-power-day-update</t>
  </si>
  <si>
    <t>Syrah Resources (US): non-binding memorandum of understanding (MoU) with Ford and SK On to evaluate a strategic arrangement, including natural graphite active anode material</t>
  </si>
  <si>
    <t>Managense from Element 25 (Australia): binding agreement for the supply of manganese sulphate starting in 2026 and has a term of five years + Stellantis will make an equity investment in Element 25
Copper from McEwen Copper (Argentina): $155 million investment in a project located in Argentina, Stellantis will become McEwen Copper’s second largest shareholder.
Copper from ACG (Brazil): Volkswagen, Stellantis and the mining company Glencore support the purchase of two mines (nickel sulphide and a copper) for battery raw materials in Brazil by the financial company ACG</t>
  </si>
  <si>
    <t>Copper (Brazil): Volkswagen, Stellantis and the mining company Glencore support the purchase of two mines (nickel sulphide and a copper) for battery raw materials in Brazil by the financial company ACG</t>
  </si>
  <si>
    <t>Bonus point for small OEMs</t>
  </si>
  <si>
    <t>Verkor (France)</t>
  </si>
  <si>
    <t>https://verkor.com/en/verkor-partners-with-renault-group-to-gear-up-its-battery-manufacturing-in-france/</t>
  </si>
  <si>
    <t>LG Chem: https://www.autocar.co.uk/car-news/technology/under-skin-renault-reveals-new-tricks-squeeze-more-out-batteries
Envision AESC: https://www.reuters.com/technology/renault-chooses-chinas-envision-douai-ev-battery-plant-sources-2021-06-24/</t>
  </si>
  <si>
    <t>1 subsidiary
1 direct investment
1 long-term supply/offtake agreements</t>
  </si>
  <si>
    <t>Overall material demand</t>
  </si>
  <si>
    <t>Overall supply</t>
  </si>
  <si>
    <t>Share secured</t>
  </si>
  <si>
    <t>Total</t>
  </si>
  <si>
    <t>Member of IRMA and aims to influence the supply chain to obtain IRMA certification for mines</t>
  </si>
  <si>
    <t>Page 5 Group Report - https://www.bmwgroup.com/content/dam/grpw/websites/bmwgroup_com/ir/downloads/en/2022/bericht/BMW-Group-Report-2021-en.pdf
https://www.bmwgroup.com/en/sustainability/our-focus/environmental-and-social-standards/supply-chain/rohstoffe-teaser.html</t>
  </si>
  <si>
    <t xml:space="preserve">Responsible Lithium Partnership:  promote the responsible use of natural resources in Chile’s Salar de Atacama
Responsible Minerals Initiative
Member of CSR Europe Drive Sustainability
</t>
  </si>
  <si>
    <t>https://www.volvocars.com/intl/news/sustainability/How-do-we-maintain-responsible-business-practices</t>
  </si>
  <si>
    <t>Third-party audits among suppliers according to the OECD Due Diligence Guidance including cobalt, lithium and nickel.</t>
  </si>
  <si>
    <t>https://www.bmwgroup.com/content/dam/grpw/websites/bmwgroup_com/responsibility/downloads/en/2021/BMW%20Group%20Sorgfaltspflicht%20bei%20der%20Lieferantenauswahl_EN.pdf</t>
  </si>
  <si>
    <t>For the raw material cobalt, due diligence oriented in particular to the OECD Due Diligence Guidance</t>
  </si>
  <si>
    <t>Lake Resources (Argentina): preliminary deal for lithium from direct lithium extraction
EnergySource Minerals ESM (US): ILiAD technology platform separates lithium from an underlying geothermal brine resource, in an efficient and sustainable way</t>
  </si>
  <si>
    <t>Score</t>
  </si>
  <si>
    <t>Sub-total</t>
  </si>
  <si>
    <t>Battery supply chain strategy</t>
  </si>
  <si>
    <t>Battery raw material secured</t>
  </si>
  <si>
    <t>Battery raw material contracts</t>
  </si>
  <si>
    <t>Battery cell supply</t>
  </si>
  <si>
    <t>Battery cell manufacturing</t>
  </si>
  <si>
    <t>Responsible supply chain practices</t>
  </si>
  <si>
    <t>Share of 2030 lithium demand secured</t>
  </si>
  <si>
    <t>Share of 2030 nickel demand secured</t>
  </si>
  <si>
    <t>Share of 2030 cobalt demand secured</t>
  </si>
  <si>
    <t>Partnerships</t>
  </si>
  <si>
    <t>Responsible initiatives &amp; networks</t>
  </si>
  <si>
    <t xml:space="preserve">IRMA </t>
  </si>
  <si>
    <t>Methodology</t>
  </si>
  <si>
    <t>Data sources</t>
  </si>
  <si>
    <t>Categories</t>
  </si>
  <si>
    <t>Carmakers website, press releases</t>
  </si>
  <si>
    <t>Sum of the 3 scores above in the table</t>
  </si>
  <si>
    <t>Sum of the 2 scores above in the table</t>
  </si>
  <si>
    <t>T&amp;E modelling based on carmakers website and press releases, GlobalData's Global Light Vehicle Engine Forecast (Quarter 1, 2023) and BloombergNEF's Lithium-Ion Batteries State of the Industry 2022</t>
  </si>
  <si>
    <t>Sum of the 3 yellow scores above in the table</t>
  </si>
  <si>
    <t>Sum of the 8 scores above in the table</t>
  </si>
  <si>
    <t>Sum of the 3 blue scores above in the table</t>
  </si>
  <si>
    <t>Korea Zinc: financial stake of 527.2 billion won (366 million euros), will supply the Hyundai Group with nickel from 2026. There is no binding agreement yet. HMG Global nis set to buy the shares of Korea Zinc on 12 September</t>
  </si>
  <si>
    <t>Hyundai: https://www.electrive.com/2023/08/31/hyundai-hitches-to-the-nickel-supply-chain-via-korea-zinc/</t>
  </si>
  <si>
    <t>1 direct investment</t>
  </si>
  <si>
    <t>Umicore: https://www.umicore.de/en/media/press-releases/umicore-introduces-new-generation-li-ion-battery-recycling-technologies-and-announces-award-with-acc/
Recycling partner: https://www.stellantis.com/content/dam/stellantis-corporate/sustainability/csr-disclosure/stellantis/2022/Stellantis-2022-CSR-Report.pdf</t>
  </si>
  <si>
    <t>Umicore: recycling of ACC production waste in Nersac's pilot plant
Stellantis selected local recyclers by geographical zones. A recycling partner cover the dealership networks and industrial sites for all current Li-ion and NiMH batteries across all European marketing countries</t>
  </si>
  <si>
    <t>ACC: https://www.acc-emotion.com/stories/automotive-cells-company-inaugure-son-centre-de-rd-dans-lequel-travaillent-300-experts
Turin: https://www.electrive.com/2023/09/08/stellantis-opens-battery-tech-centre-in-turin/
Factorial: https://www.stellantis.com/en/news/press-releases/2022/january/stellantis-completes-investment-round-in-factorial-further-accelerating-electrification-push
Lyten: https://www.stellantis.com/en/news/press-releases/2023/may/stellantis-invests-in-lyten-s-breakthrough-lithium-sulfur-ev-battery-technology
IBIS: https://www.stellantis.com/en/news/press-releases/2023/july/ibis-stellantis-and-saft-reveal-a-smarter-more-efficient-battery-for-autos-and-stationary-power</t>
  </si>
  <si>
    <t>Vulcan Energey: https://www.stellantis.com/en/news/press-releases/2022/june/stellantis-expands-relationship-with-vulcan-energy-becoming-shareholder-in-decarbonized-lithium-company
CTR: https://www.stellantis.com/en/news/press-releases/2022/june/stellantis-secures-low-emissions-lithium-supply-for-north-american-electric-vehicle-production-from-controlled-thermal-resources
Terrafame: https://www.stellantis.com/en/news/press-releases/2023/january/stellantis-and-terrafame-agree-on-low-carbon-nickel-sulphate-supply-for-electric-vehicle-batteries
Kuniko: https://www.innovationnewsnetwork.com/zero-carbon-scandinavian-battery-metals-european-battery-industry/15696/</t>
  </si>
  <si>
    <t>2 lithium
1 nickel
1 cobalt</t>
  </si>
  <si>
    <t>3 direct investment</t>
  </si>
  <si>
    <t>Vulcan Energy (Germany): direct investment (8% stake, second largest shareholder) and binding offtake agreement of 10 years. 
Controlled Thermal Resources (California): binding offtake agreement for CTR to supply battery grade lithium hydroxide for use in Stellantis’ North American electrified vehicle production and $100 million direct investment
Argentina Lithium &amp; Energy (Argentina): lithium offtake agreement and $90 Million Investment for up to 19.9% of the shares of Argentina Lithium &amp; Energy</t>
  </si>
  <si>
    <t>Vulcan: initial contract of minimum of 81,000 metric tons and a maximum of 99,000 metric tons of lithium hydroxide over the first five-year term from 2026
CTR: Up to 25,000 metric tons per year of lithium hydroxide over the 10-year term of the agreement.
Argentina Lithium &amp; Energy: 15,000 tonnes per annum of lithium produced by ALE over a seven-year period</t>
  </si>
  <si>
    <t>Maximum delivery assumed for Vulcan, mass equally split between 5 year.
Argentina Lithium unit assumed to be LCE</t>
  </si>
  <si>
    <t>Vulcan Energy: https://www.stellantis.com/en/news/press-releases/2022/june/stellantis-expands-relationship-with-vulcan-energy-becoming-shareholder-in-decarbonized-lithium-company
Vulcan's initial contract: https://www.stellantis.com/en/news/press-releases/2021/november/stellantis-signs-lithium-supply-agreement-with-vulcan-energy
CTR: https://www.stellantis.com/en/news/press-releases/2022/june/stellantis-secures-low-emissions-lithium-supply-for-north-american-electric-vehicle-production-from-controlled-thermal-resources
CTR investment: https://www.media.stellantis.com/em-en/corporate-communications/press/stellantis-invests-in-ctr-to-strengthen-low-emissions-u-s-lithium-production
Argentina Lithium: https://argentinalithium.com/news/argentina-lithium-announces-us-90-million-investment-by-stellantis-in-ars-equivalent/</t>
  </si>
  <si>
    <t>Vulvan: Vulcan plans to produce lithium hydroxide with zero fossil fuels and net zero carbon footprint as part of the Zero Carbon Lithium™ Project.
CTR: battery grade lithium hydroxide and lithium carbonate along with geothermal energy
Terrafame: due to the unique production technology, the carbon footprint of the nickel sulphate produced by Terrafame is among the smallest in the industry
Kuniko: roadmap for zero carbon cobalt thanks to Norway's low carbon electricty and the use of electrified mining equipment</t>
  </si>
  <si>
    <t>BYD</t>
  </si>
  <si>
    <t>Lithium demand (k tonnes)</t>
  </si>
  <si>
    <t>Nickel demand (k tonnes)</t>
  </si>
  <si>
    <t>Cobalt demand (k tonnes)</t>
  </si>
  <si>
    <t>Due diligence procedures are focused on the certain raw materials / process materials (including lithium, nickel and cobalt) with identified risks to the environment and human rights in their extraction and processing.</t>
  </si>
  <si>
    <t>Low-carbon processes</t>
  </si>
  <si>
    <t xml:space="preserve">Low-carbon processes </t>
  </si>
  <si>
    <t>Low-carbon processes for lithium, nickel and cobalt</t>
  </si>
  <si>
    <t>UNDRIP</t>
  </si>
  <si>
    <t>Has indigenous rights policies (UNDRIP/FPIC)</t>
  </si>
  <si>
    <t>https://www.renaultgroup.com/wp-content/uploads/2023/05/rg-vigilance-plan.pdf</t>
  </si>
  <si>
    <t xml:space="preserve">The vigilance plan mentions the United Nations Declaration on the Rights of Indigenous Peoples 2007 (UNDRIP) </t>
  </si>
  <si>
    <t xml:space="preserve">Solid State: Factorial Energy (US)
Lyten (US): Lithium-Sulfur EV Battery Technology
Intelligent Battery Integrated System (IBIS): joint corporate (Saft) and academic research project in France focused on developing a more efficient and less expensive energy storage system with intends to make this technology available on Stellantis brand vehicles before the end of this decade
</t>
  </si>
  <si>
    <t>FPIC</t>
  </si>
  <si>
    <t>Suppliers shall respect the right to Free, Prior, and Informed Consent (FPIC)</t>
  </si>
  <si>
    <t>https://media.jlrms.com/2023-08-29/pdf/94dc7ced-2a90-4ed0-ab14-089c925e046b/JLR Supplier Code of Conduct 2023 FULL.pdf?VersionId=zDOkSgKVFegmcZVl6ycQwik.SbOP45YH</t>
  </si>
  <si>
    <t>UNDRIP/FPIC</t>
  </si>
  <si>
    <t>https://www.tesla.com/en_eu/blog/tesla-launches-battery-recycling-program-throughout-europe</t>
  </si>
  <si>
    <t>https://www.tesla.com/ns_videos/2022-tesla-impact-report.pdf</t>
  </si>
  <si>
    <t>In 2021, Tesla joined IRMA and encourage suppliers to undergo IRMA assessments</t>
  </si>
  <si>
    <t>Tesla has a standalone human rights policy that explicitly references the UN Declaration of Human Rights.</t>
  </si>
  <si>
    <t>https://www.tesla.com/en_au/legal/additional-resources#responsible-sourcing-policies</t>
  </si>
  <si>
    <t>Lithium, nickel and cobalt are part of the priority material list which in clude specifric risk identification, audits, supply chain mapping…</t>
  </si>
  <si>
    <t>Fair Cobalt: https://www.mining-technology.com/news/tesla-joins-fair-cobalt-alliance/
RMI: https://www.responsiblemineralsinitiative.org/about/members-and-collaborations/
RBA: https://www.responsiblebusiness.org/about/members/</t>
  </si>
  <si>
    <t>Responsible Lithium Partnership: https://www.electrive.com/2021/06/09/vw-daimler-basf-fairphone-launch-sustainable-lithium-initiative/
RMI: https://www.responsiblemineralsinitiative.org/about/members-and-collaborations/
CSR Europe: https://www.csreurope.org/drive-sustainability</t>
  </si>
  <si>
    <t>https://cleantechnica.com/2021/08/27/teslas-resource-blockchain-collaboration-for-cobalt-aims-to-prove-that-tesla-ethically-sources-its-cobalt/</t>
  </si>
  <si>
    <t>Tesla is developing a blockchain platform to track what cobalt with the Re|Source consortium. One key partner for this project is BHP Blockchain.</t>
  </si>
  <si>
    <t>GlobalData
Glencore: https://www.tesla.com/ns_videos/2022-tesla-impact-report.pdf</t>
  </si>
  <si>
    <t xml:space="preserve">Syrah Resources (Australia): graphite supply deal </t>
  </si>
  <si>
    <t>Syrah: https://www.reuters.com/markets/deals/australias-syrah-resources-soars-graphite-supply-deal-with-tesla-2021-12-22/</t>
  </si>
  <si>
    <t>BHP (Australia): nickel supply agreement
Glencore Murrin Murrin (Australia): no information on contract type
Vale (Canada): long-term contract to supply Class 1 nickel
Prony (New Caledonia): multi-year supply agreement
Talon Metals (US): supply of nickel concentrate from the Tamarack Nickel Project in Aitkin County, Minnesota</t>
  </si>
  <si>
    <t>BHP: https://www.bhp.com/news/media-centre/releases/2021/07/bhp-enters-into-nickel-supply-agreement-with-tesla-inc
Glencore: https://www.tesla.com/ns_videos/2022-tesla-impact-report.pdf
Vale: https://www.vale.com/w/vale-confirms-supply-deal-with-tesla-for-low-carbon-nickel
Prony: https://www.reuters.com/business/energy/prony-resources-says-tesla-has-agreed-multi-year-nickel-purchasing-deal-2021-10-13/
Talon Metals: https://talonmetals.com/tesla-and-talon-metals-enter-into-supply-agreement-for-nickel/</t>
  </si>
  <si>
    <t>Talon Metals: 10.8% Ni according to https://talonmetals.com/talon-metals-metallurgical-results-confirm-optionality-of-using-nickel-concentrates-from-tamarack-for-the-electric-vehicle-or-stainless-steel-markets/</t>
  </si>
  <si>
    <t>Talon Metals: 75,000 metric tonnes of nickel in concentrate over six years from 2026</t>
  </si>
  <si>
    <t>Yahua: maximum value assumed, split between 6.5 years</t>
  </si>
  <si>
    <t>Yahua: 207,000 to 301,000 tonnes of battery-grade lithium hydroxide from 1 August 2023 to 31 December 2030
Piedmont Lithium: 25,000 metric tons of SC6 beginning in H2 2023 through the end of 2025</t>
  </si>
  <si>
    <t>Direct sourcing from mining and refining companies with contracts including binding environmental and social requirements. More than 95% of lithium, more than 45% of nickel and more than 55% of cobalt are directly sourced.</t>
  </si>
  <si>
    <t>5 long-term supply/offtake agreements</t>
  </si>
  <si>
    <t>Cobalt-free chemistries planned</t>
  </si>
  <si>
    <t>GlobalData expects that Tesla would shift to only cobalt-free chemistries (high-nickel, high-manganese and LFP) by 2030. 
Current mining contract with Glencore (RDC)</t>
  </si>
  <si>
    <t>https://www.electrive.com/2023/10/12/svolt-signs-battery-supply-deal-with-bmw/</t>
  </si>
  <si>
    <t>SSB: in-house, JV with Panasonic, partnership with Idemitsu</t>
  </si>
  <si>
    <t>Panasonic: https://media.toyota.co.uk/toyota-and-panasonic-agree-to-establish-joint-venture-related-to-automotive-prismatic-batteries/
SSB: https://www.ft.com/content/87cb8e92-8e82-4755-8fc3-2943f8f63e1d
Idemitsu: https://global.toyota/en/newsroom/corporate/39865919.html</t>
  </si>
  <si>
    <t>Indonesia: Partnership with Vale, Ford and China's battery minerals producer Zhejiang Huayou Cobalt, contract type unclear
JV with Huayou Cobalt and Tsingshan (Indonesia)</t>
  </si>
  <si>
    <t>Alliance Nickel (Australia): Binding offtake agreement of battery-grade nickel from the NiWest project for an initial five-year period + 11.5% shareholding
Terrafame (Finland): supply agreement for nickel sulphate over a five-year term that will cover a "significant portion of the needs"
Kuniko (Norway): binding offtake term sheet agreement for nickel sulphate from Kuniko’s Norwegian exploration projects for a term of nine years + 19.99% shareholding</t>
  </si>
  <si>
    <t>2 direct investment
1 long-term supply/offtake agreements</t>
  </si>
  <si>
    <t>Alliance Nickel: https://www.media.stellantis.com/em-en/corporate-communications/press/stellantis-signs-offtake-agreement-and-invests-in-alliance-nickel-for-battery-grade-nickel-and-cobalt-sulphate
Terrafame: https://www.stellantis.com/en/news/press-releases/2023/january/stellantis-and-terrafame-agree-on-low-carbon-nickel-sulphate-supply-for-electric-vehicle-batteries
Kuniko: https://www.stellantis.com/en/news/press-releases/2023/june/stellantis-signs-offtake-terms-and-invests-in-kuniko-for-supply-of-norwegian-low-carbon-nickel-and-cobalt-sulphate
ACG: https://www.electrive.com/2023/09/29/vw-stellantis-glencore-mine-deal-falls-through/</t>
  </si>
  <si>
    <t>Indonesia: https://www.reuters.com/business/autos-transportation/volkswagen-partner-with-vale-ford-huayou-indonesia-ev-battery-ecosystem-minister-2023-04-17/
JV: https://www.reuters.com/business/autos-transportation/volkswagen-china-says-will-form-ventures-with-huayou-cobalt-tsingshan-group-2022-03-21/
ACG: https://www.electrive.com/2023/09/29/vw-stellantis-glencore-mine-deal-falls-through/</t>
  </si>
  <si>
    <t>In-house cathode factory project in Chile
Beijing Easpring (China): cathode materials
Anda Energy (China): LFP CAM supply strategic cooperation agreement (direct investment with 2% stake)</t>
  </si>
  <si>
    <t>Easpring: http://www.cnchemicals.com/Detail/Readonline.aspx?id=8092&amp;type=n&amp;cid=20879692270
Chile: https://www.mining.com/web/byd-takes-next-steps-on-290-million-lithium-project-in-chile/
Anda: https://www.asianmetal.com/news/data/1645763/Anda%20Energy%20Technology%20and%20BYD%20sign%20LiFePO4%20supply%20strategic%20cooperation%20agreement
Anda investment: https://www.china-certification.com/en/byd-invests-4-2-billion-in-lithium-projects-in-jiangxi-province/</t>
  </si>
  <si>
    <t>1 in-house
2 direct investments
1 long-term supply/offtake agreements</t>
  </si>
  <si>
    <t>BYD considers going nickel, cobalt free</t>
  </si>
  <si>
    <t>https://www.mining.com/world-no-2-electric-carmaker-goes-entirely-nickel-cobalt-free/</t>
  </si>
  <si>
    <t>BYD goes nickel, cobalt free</t>
  </si>
  <si>
    <t>Nickel-free chemistries planned</t>
  </si>
  <si>
    <t>Fair Cobalt Alliance
Responsible Minerals Initiative
Responsible Business Aliance</t>
  </si>
  <si>
    <t>The Responsible Sourcing of Minerals section of the supplier code of conduct mentions cobalt is included in materials that need to be sourced according to OECD guidelines</t>
  </si>
  <si>
    <t>https://www.tesla.com/sites/default/files/about/legal/tesla-supplier-code-of-conduct.pdf</t>
  </si>
  <si>
    <t>Recovas (UK): developing approaches to remanufacture, reuse or recycling of EV batteries</t>
  </si>
  <si>
    <t>Innovation: https://electrek.co/2020/09/23/tesla-battery-puzzle-innovation/</t>
  </si>
  <si>
    <t>Standalone responsible sourcing standards for lithium, nickel &amp; cobalt</t>
  </si>
  <si>
    <t>Jiangxi: https://www.electrive.com/2022/08/16/byd-announces-plans-for-lithium-mine-and-battery-production-in-yichun/
Chengxin: https://cnevpost.com/2022/12/08/byd-becomes-3rd-largest-shareholder-of-chengxin-lithium/
Shanshan: https://pandaily.com/byd-to-increase-investment-in-leading-lithium-battery-company-shanshan-corporation/
Youngy: https://www.asianmetal.com/news/1821197/Youngy-signs-lithium-carbonate-supply-contract-with-BYD-</t>
  </si>
  <si>
    <t xml:space="preserve">In-house mining project in Yichun in China’s Jiangxi province (China)
Chengxin Lithium (China): direct investment (5% stake)
Shanshan (China): direct investment
Youngy (China): lithium carbonate supply contract </t>
  </si>
  <si>
    <t>Circular hub: https://www.stellantis.com/en/news/press-releases/2022/october/stellantis-fosters-circular-economy-ambitions-with-dedicated-business-unit-to-power-new-era-of-sustainable-manufacturing-and-consumption
Galloo: https://www.stellantis.com/en/news/press-releases/2023/june/stellantis-and-galloo-to-form-joint-venture-for-end-of-life-vehicle-recycling
Orano: https://www.electrive.com/2023/10/25/stellantis-and-orano-to-recycle-ev-batteries/</t>
  </si>
  <si>
    <t>Circular economy hub (Italy): vehicle reconditioning, vehicle dismantling and parts remanufacturing, battery repair and remanufacturing
JV with Galloo to manage the reuse, remanufacturing and recycling of parts, including EV batteries
JV with Orano with a recycling plant in construction in France</t>
  </si>
  <si>
    <t>SK: https://www.hyundai.com/worldwide/en/company/newsroom/hyundai-motor-group%2C-sk-innovation-to-collaborate-on-development-of-ev-battery-industry-ecosystem-0000016517
Samsung: https://www.electrive.com/2023/10/23/212708/</t>
  </si>
  <si>
    <t>Vulcan: https://www.reuters.com/markets/asia/australias-vulcan-energy-inks-second-lithium-supply-deal-with-renault-2021-11-21/
Arverne: https://arverne.earth/wp-content/uploads/2023/09/CP_Arverne-Group-sintroduit-en-bourse.pdf</t>
  </si>
  <si>
    <t>Vulcan Energy (Germany): lithium from geothermal brine deposits in Germany from 2026 for an initial six-year period
Arverne Group (France): Renault became the main stakeholder and signed a supply agreement</t>
  </si>
  <si>
    <t>1 direct investment
1 long-term supply/offtake agreements</t>
  </si>
  <si>
    <t>Vulcan: 26,000 to 32,000 metric tonnes of battery-grade lithium chemicals for 6 year / 6,000 to 17,000 tonnes of lithium annually
Arverne: 25,000 over 5 year strating in 2025</t>
  </si>
  <si>
    <t>Vulcan: Mass unit assumed to be lithium hydroxide as t LiOH used on Vulcan website. Maximum annual value assumed in 2030
Arverne: Mass unit assumed to be lithium hydroxide, the 25,000 value is assumed to be delivered over 5 years</t>
  </si>
  <si>
    <t>2 lithium
1 nickel</t>
  </si>
  <si>
    <t>Sustainable processes through choice of suppliers:
- Vulcan Energy: production of lithium with a net-zero carbon footprint
- Arverne Group: lithium from geothermal sources
- Terrafame: bioleaching-based production process using about 90% less energy in the production of nickel sulphate than the industry average</t>
  </si>
  <si>
    <t>Vulcan Energy: https://v-er.eu/
Arverne: https://www.lesechos.fr/finance-marches/marches-financiers/le-lithium-geothermal-francais-monte-en-puissance-1979657
Terrafame: https://www.terrafame.com/newsroom/news/terrafame-and-renault-group-agree-on-long-term-supply-of-sustainable-nickel-sulphate.html</t>
  </si>
  <si>
    <t>For each metal (lithium, nickel and cobalt), 2 points are awarded when carmakers use their raw material contracts or investments to promote the development of extraction or processing technologies to reduce the carbon footprint of battery minerals.</t>
  </si>
  <si>
    <t>Points are awarded to carmakers who have standalone responsible battery minerals sourcing for lithium, nickel &amp; cobalt in their materials policy (no point if the three metals are not mentioned) and that apply OECD guidelines for conflicted affected and high risk areas to cobalt in particular.</t>
  </si>
  <si>
    <t>The maximum score (2 point) is awarded to carmakers who are members of at least 4 outstanding initiatives and network in area of responsible supply chain practices and duel dilligence (excluding IRMA, see below). Each initiative is worth 0.5 point.</t>
  </si>
  <si>
    <t>2 points are awarded to carmakers who are member of IRMA and plan to source their battery materials from suppliers that are IRMA certified in the coming years.</t>
  </si>
  <si>
    <t>Carmakers earn 2 points if they invest in companies or join partners and networks who are developing digital tracking technology such as blockchain to improve traceability of raw materials</t>
  </si>
  <si>
    <t>2 points are awarded if carmakers have human rights policies that refer to United Nation guiding principles.</t>
  </si>
  <si>
    <t>1 point is given if the carmakers explicitly mention the United Nations Declaration on the Rights of Indigenous Peoples (UNDRIP) and 1 point if the carmakers mention the right to free prior and informed consent (FPIC)</t>
  </si>
  <si>
    <t>Battery reycling</t>
  </si>
  <si>
    <t>Cathode and precursors</t>
  </si>
  <si>
    <t>Anode</t>
  </si>
  <si>
    <t>CAM/pCAM</t>
  </si>
  <si>
    <t>1 in-house
1 direct investment
1 supply agreement</t>
  </si>
  <si>
    <t>Sila Nano (US): silicon anode material</t>
  </si>
  <si>
    <t>1 supply agreement</t>
  </si>
  <si>
    <t>ACC agreement with Umicore for CAM</t>
  </si>
  <si>
    <t>Anode material</t>
  </si>
  <si>
    <t xml:space="preserve">pCAM: supply agreement under development with Huayou (China) for precursor cathode active materials
pCAM (US): JV between EcoPro BM, SK On, and Ford
CAM (Canada): plan with SK On and EcoPro BM to build a cathode material plant in Quebec
</t>
  </si>
  <si>
    <t>1 JV
1 supply agreement</t>
  </si>
  <si>
    <t>Sila: https://pv-magazine-usa.com/2023/04/04/mercedes-benz-a-first-customer-of-battery-material-that-boosts-range-by-20/
ACC/Umicore: https://www.umicore.com/en/newsroom/umicore-and-acc-enter-strategic-partnership-for-ev-battery-materials-in-europe/</t>
  </si>
  <si>
    <t>US pCAM: https://thelec.net/news/articleView.html?idxno=4313
Canada: https://www.bloomberg.com/news/articles/2022-11-04/ford-in-talks-with-korean-firms-to-build-cathode-plant-in-quebec</t>
  </si>
  <si>
    <t>AC agreement with Umicore for CAM</t>
  </si>
  <si>
    <t xml:space="preserve">ACC/Umicore: https://www.umicore.com/en/newsroom/umicore-and-acc-enter-strategic-partnership-for-ev-battery-materials-in-europe/
</t>
  </si>
  <si>
    <t>CNGR (China): ternary precursors
Huayou (China):  ternary precursors
In-house cathode manufacturing (US)</t>
  </si>
  <si>
    <t>CNGR/Huayou: https://www.energytrend.com/news/20220808-29569.html
Magnis: https://www.reuters.com/business/autos-transportation/australias-magnis-deal-with-tesla-supply-graphite-electric-vehicle-batteries-2023-02-20/
US cathode: https://electrek.co/2022/08/30/tesla-first-battery-cathode-factory-progress-update/</t>
  </si>
  <si>
    <t xml:space="preserve">US refinery: https://www.tesla.com/blog/tesla-lithium-refinery-groundbreaking
Nevada: https://fortune.com/2020/09/28/tesla-mine-lithium-batteries-cheaper-cars/
Albemarle: https://www.cnbc.com/2022/10/14/lithium-for-tesla-evs-batteries-touring-silver-peak-nevada-.html
Ganfeng: https://www.electrive.com/2021/11/02/tesla-signs-supply-deal-with-ganfeng-lithium/
Liontown: https://www.reuters.com/business/australias-liontown-signs-5-year-lithium-supply-deal-with-tesla-2022-02-15/
Livent: https://www.tesla.com/ns_videos/2022-tesla-impact-report.pdf
Yahua: https://www.electrive.com/2023/08/03/tesla-increases-lithium-order-with-yahua-group/
Piedmont: https://piedmontlithium.com/piedmont-lithium-amends-agreement-with-tesla/
</t>
  </si>
  <si>
    <t xml:space="preserve">Tesla plans an in-house refinery and has a lithium mining project in Nevada (but lithium has never been produced from clay in commercial quantities, Tesla still has to prove the viability of this project).
Albemarle (Australia and Chile): no information on contract type
Ganfeng Lithium (China): supply of lithium hydroxide for three years starting in 2022
Liontown (Australia): five-year agreement to supply lithium spodumene concentrate starting in 2024
Livent (Argentina): no information on contract type
Yahua Industrial Group (China): framework agreement
Piedmont Lithium (North America): offtake agreement to supply spodumene concentrate
</t>
  </si>
  <si>
    <t>1 In-house
2 supply agreements</t>
  </si>
  <si>
    <t>Magnis Energy  (Australia): binding offtake deal to supply battery anode material</t>
  </si>
  <si>
    <t>BASF (Japan): Prime Planet Energy &amp; Solutions buy nickel-cobalt-manganese (NCM) cathode active materials from BASF 
LG Chem (US): long-term contract for cathode materials</t>
  </si>
  <si>
    <t>2 supply agreement</t>
  </si>
  <si>
    <t>BASF: https://www.basf.com/global/en/media/news-releases/2022/12/p-22-426.html
LG Chem: https://www.electrive.com/2023/10/11/toyota-orders-cathode-materials-from-lg-chem-in-the-usa/</t>
  </si>
  <si>
    <t>Umicore: https://www.volkswagen-newsroom.com/en/press-releases/powerco-and-umicore-get-official-go-to-start-joint-venture-for-eu-battery-materials-production-15646
Huayou: https://www.reuters.com/business/autos-transportation/volkswagen-china-says-will-form-ventures-with-huayou-cobalt-tsingshan-group-2022-03-21/
Nano One: https://seekingalpha.com/article/4414261-nano-one-vw-power-day-update</t>
  </si>
  <si>
    <t xml:space="preserve">JV with Umicore (Poland): Cathode material and precursors
JV with Huayou (China): precursor and cathode material production
CAM from Nano One (Canada)
</t>
  </si>
  <si>
    <t>2 JV for pCAM/CAM
1 partnership for CAM</t>
  </si>
  <si>
    <t>1 in-house refinery
6 long-term supply/offtake agreements</t>
  </si>
  <si>
    <t>European Lithium (Australian compagny):  binding contract to supply battery-grade lithium hydroxide, BMW's pre-payment will be used to start the construction phase of flagship Wolfsberg Project in Austria, supply start in 2026 and continue for 6 years until 2031, at which time the offtake agreement can be extended for 3 years
Livent (Argentina): muli-year contract from 2022
Ganfeng Lithium (Australia): in 2020, signed a long-term supply agreement to 2024 (that can be extended afterwards)
Mangrove Lithium (Canada): direct investment to launch a commercial-scale lithium-processing plant</t>
  </si>
  <si>
    <t>1 direct investment (refining)
3 long-term supply/offtake agreements</t>
  </si>
  <si>
    <t>Vertical integration</t>
  </si>
  <si>
    <t>1 direct investment
4 long-term partners
1 other supplier</t>
  </si>
  <si>
    <t>CATL, EVE Energy: https://www.press.bmwgroup.com/global/article/detail/T0403470EN/more-performance-co2-reduced-production-significantly-lower-costs:-bmw-group-to-use-innovative-round-bmw-battery-cells-in-neue-klasse-from-2025?language=en
Samsung SDI: https://www.electrive.com/2023/01/12/samsung-sdi-plans-to-produce-round-battery-cells-in-hungary/
Envision: https://www.press.bmwgroup.com/global/article/detail/T0404837EN/bmw-group-announces-1-7-billion-usd-investment-to-build-electric-vehicles-in-the-u-s-and-signs-agreement-with-envision-aesc-for-the-supply-of-battery-cells-to-plant-spartanburg?language=en</t>
  </si>
  <si>
    <t>Other suppliers (no long-term contract publicly disclosed by the OEM)</t>
  </si>
  <si>
    <t>CATL (Germany and China)
Samsung SDI (Hungary, China, Korea, US)
EVE Energy (Hungary and China)
Envision AESC (US)</t>
  </si>
  <si>
    <t>Svolt (Germany, China)</t>
  </si>
  <si>
    <t>JV with LG Chem and Koç Holding in Turkey
BlueOval SK JV with SK On in the US</t>
  </si>
  <si>
    <t>Samsung SDI (Hungary)
BYD (China)
Gotion (Germany)</t>
  </si>
  <si>
    <t>Samsung SDI: https://insideevs.com/news/449322/samsung-sdi-root-ford-bmw-phev-recalls/
BYD: https://www.reuters.com/article/us-ford-byd-electric-idUSKBN2381VJ
Gotion: GlobalData forecast</t>
  </si>
  <si>
    <t>SK On: Hungary, China
LG Chem: China, Korea, Poland, US
CATL: China, Germany, North America (unconfirmed)
PowerCo (VW): Europe</t>
  </si>
  <si>
    <t>SK On: https://europe.autonews.com/automakers/ford-said-favor-lg-over-sk-turkey-battery-plant
LG: https://lgensol.pl/en/lg-energy-solution-solidifies-collaboration-with-ford-by-upgrading-battery-production/
CATL: https://www.catl.com/en/news/968.html
PowerCo: https://www.reuters.com/business/autos-transportation/volkswagens-battery-unit-powerco-investor-could-be-big-client-cfo-2023-09-19/</t>
  </si>
  <si>
    <t>2 JVs
4 long-term partners
3 other suppliers</t>
  </si>
  <si>
    <t>LG: https://www.electrive.com/2020/04/24/lg-chem-secures-ehalf-a-billion-for-polish-factory-expansion/
CATL: https://thelec.net/news/articleView.html?idxno=4306</t>
  </si>
  <si>
    <t>Long-term partnership</t>
  </si>
  <si>
    <t>Seoul: https://www.kedglobal.com/automobiles/newsView/ked202307250014#:~:text=The%20group%20will%20invest%20over,2030%20for%20next%2Dgeneration%20batteries&amp;text=Hyundai%20Motor%20Group%20opened%20a,into%20next%2Dgeneration%20battery%20research.
Factorial: https://www.hyundainews.com/en-us/releases/3429
Solid Power: https://www.greentechmedia.com/articles/read/industry-giants-samsung-and-hyundai-invest-in-solid-state-batteries
Ionic Materials: https://www.hyundai.com/worldwide/en/company/newsroom/-0000016006
SolidEnergy: https://www.reuters.com/business/autos-transportation/hyundai-motor-invest-100-mln-battery-startup-solidenergy-systems-yonhap-2021-07-05/</t>
  </si>
  <si>
    <t>LG Chem (Poland, China, Korea)
CATL (China)</t>
  </si>
  <si>
    <t>JV with LG Chem (US)
JV with SK On (US)</t>
  </si>
  <si>
    <t>LG: https://www.reuters.com/business/autos-transportation/hyundai-motor-lg-energy-solution-boost-investment-georgia-jv-by-2-bln-2023-08-31/
SK: https://eng.sk.com/news/sk-on-and-hyundai-motor-bolster-support-for-u-s-evs-with-georgia-battery-plant</t>
  </si>
  <si>
    <t>SK Innovation (Hungary, China, Korea)
Samsung SDI (Hungary, Korea, China, US?)</t>
  </si>
  <si>
    <t>2 JVs
2 long-term partners
2 other suppliers</t>
  </si>
  <si>
    <t>Tata's Agratas (UK, India)</t>
  </si>
  <si>
    <t>Samsung: https://www.koreatimes.co.kr/www/tech/2023/07/129_255094.html
LG: https://www.designnews.com/automotive-engineering/jaguar-ev-batteries-are-headed-second-life-power-stations
CATL: GlobalData</t>
  </si>
  <si>
    <t>Samsung SDI (Hungary, China, Korea)
LG Chem (Poland)
CATL (China)</t>
  </si>
  <si>
    <t>1 in-house
3 other suppliers</t>
  </si>
  <si>
    <t>SKOn: https://www.electrive.com/2019/01/02/sk-innovation-plans-major-boost-of-battery-cell-production-by-2022/
LG Chem: https://europe.autonews.com/automakers/daimler-says-no-battery-bottleneck-eqc-electric-crossover
Envision: https://www.autocar.co.uk/car-news/business-tech%2C-development-and-manufacturing/mercedes-benz-signs-ev-battery-supply-deal
CALB: https://www.energytrend.com/news/20230407-31703.html</t>
  </si>
  <si>
    <t>SKOn (Hungary, China, US)
LG Chem (Poland)
Envision AESC (US)
CALB (China)</t>
  </si>
  <si>
    <t>1 JV
1 direct investment
1 long-term partner
4 other suppliers</t>
  </si>
  <si>
    <t>LG Chem (Poland, China, Korea)
Envision AESC (UK and France)</t>
  </si>
  <si>
    <t>Lishen (China)</t>
  </si>
  <si>
    <t>GlobalData</t>
  </si>
  <si>
    <t>1 direct investment
2 long-term partners
1 other supplier</t>
  </si>
  <si>
    <t>ACC: https://www.acc-emotion.com/about-acc
LG Chem: https://www.stellantis.com/en/news/press-releases/2022/march/stellantis-and-lg-energy-solution-to-invest-over-5-billion-cad-in-joint-venture-for-first-large-scale-lithium-Ion-battery-production-plant-in-canada
Samsung: https://www.stellantis.com/en/news/press-releases/2023/july/stellantis-samsung-sdi-announce-plans-to-build-second-starplus-energy-gigafactory-in-the-united-states</t>
  </si>
  <si>
    <t>3 JVs
1 long-term partner
3 other suppliers</t>
  </si>
  <si>
    <t>CATL (Germany, China)
Samsung (Hungary, Korea)
LG Chem (Poland, China)</t>
  </si>
  <si>
    <t>BYD (China)</t>
  </si>
  <si>
    <t>BYD: https://thedriven.io/2023/05/22/teslas-switch-to-byd-batteries-is-achieving-faster-charging-times/</t>
  </si>
  <si>
    <t>LG Chem (China)
CATL (China, US)
Panasonic (Japan)</t>
  </si>
  <si>
    <t>https://www.reuters.com/article/us-tesla-china-catl-idINKBN1ZT16G
Panasonic: https://www.just-auto.com/news/panasonic-to-build-tesla-battery-plant-in-japan/</t>
  </si>
  <si>
    <t>2 In-house
3 long-term partners
1 other supplier</t>
  </si>
  <si>
    <t xml:space="preserve">Prime Planet JV with Panasonic </t>
  </si>
  <si>
    <t>CATL: https://global.toyota/en/newsroom/corporate/28913488.html?adid=ag478_mail&amp;padid=ag478_mail
BYD: https://www.reuters.com/business/autos-transportation/toyota-produce-byd-battery-electric-car-china-2022-10-24/</t>
  </si>
  <si>
    <t>CATL (China, Germnay)
BYD (China)</t>
  </si>
  <si>
    <t>Svolt (Germany)
LG Chem (US)</t>
  </si>
  <si>
    <t>Svolt: GlobalData
LG: https://www.prnewswire.com/news-releases/lg-energy-solution-and-toyota-sign-long-term-battery-supply-agreement-to-power-electric-vehicles-in-the-us-301946604.html</t>
  </si>
  <si>
    <t>1 In-house
1 JV
2 long-term partners
2 other suppliers</t>
  </si>
  <si>
    <t>https://europe.autonews.com/cars-concepts/volvo-ex30-ev-will-be-quickest-cheapest-smallest-car-lineup</t>
  </si>
  <si>
    <t>Rept (China)
Sunwoda (China)
CALB (China)</t>
  </si>
  <si>
    <t>CATL (Germany, China)
LG Chem (Poland, China, Korea)</t>
  </si>
  <si>
    <t>1 JV
2 long-term partners
3 other suppliers</t>
  </si>
  <si>
    <t>LG Chem (Poland, Korea)
CATL (Germany, China)
SK On (US)
Samsung SDI (Hungary, Korea, China)</t>
  </si>
  <si>
    <t>https://uploads.vw-mms.de/system/production/files/vwn/014/540/file/26892c5d4e8b1d337a52b3c105314245ef463203/Background_Volkswagen_Group_s_battery_strategy.pdf
SK On: https://www.businesskorea.co.kr/news/articleView.html?idxno=98261
Samsung: Samsung: http://www.businesskorea.co.kr/news/articleView.html?idxno=110350</t>
  </si>
  <si>
    <t>1 in-house
1 JV
2 direct investments
4 long-term partners</t>
  </si>
  <si>
    <t>In-house</t>
  </si>
  <si>
    <t>In-house (China)</t>
  </si>
  <si>
    <t>Tesla innovative 4680 cells are produced in-house</t>
  </si>
  <si>
    <t>In-house plant running</t>
  </si>
  <si>
    <t>In-house: https://www.electrive.com/2023/02/14/byd-to-build-new-factory-in-china/</t>
  </si>
  <si>
    <t>In-house recycling plant operating since 2018
JV with FAW including recycling</t>
  </si>
  <si>
    <t>In-house: https://www.reuters.com/article/us-china-byd-batteries-recycling-idUSKBN1GX1EZ
FAW: https://batteriesnews.com/byd-battery-joint-venture-faw-sees-1st-battery-pack-roll-line/</t>
  </si>
  <si>
    <t>Hyundai Group formed a task force team for the waste battery business
Hyundai and Korea Zinc joint project for nickel supply chain exploring business opportunities like battery recycling</t>
  </si>
  <si>
    <t xml:space="preserve">Task force: https://www.koreatimes.co.kr/www/tech/2023/07/129_336115.html
Korea Zinc: https://www.automotivedive.com/news/hyundai-korea-zinc-nickel-supply-chain-electric-vehicle-batteries/692480/ </t>
  </si>
  <si>
    <t>Public-private partnership: https://www.kedglobal.com/batteries/newsView/ked202310060010 
SK: https://www.hyundai.com/worldwide/en/company/newsroom/hyundai-motor-group%2C-sk-innovation-to-collaborate-on-development-of-ev-battery-industry-ecosystem-0000016517
CPS: https://www.hyundai.com/worldwide/en/company/newsroom/-0000016721
Hanwha: https://batteryindustry.tech/hyundai-motor-hanwha-q-cells-sign-mou-on-old-ev-batteries-for-ess/
Korea: https://en.yna.co.kr/view/AEN20190927007800320
Lithion: https://www.electrive.com/2021/03/13/hyundai-canada-and-lithion-recycling-partner-up-for-ev-battery-recycling-in-canada/</t>
  </si>
  <si>
    <t>https://recovaspartnership.co.uk/</t>
  </si>
  <si>
    <t>Umicore (2011)</t>
  </si>
  <si>
    <t xml:space="preserve">In-house recycling (Nevada, US)
</t>
  </si>
  <si>
    <t>https://e-vehicleinfo.com/global/how-does-tesla-recycle-its-used-batteries-tesla-battery-recycling/</t>
  </si>
  <si>
    <t xml:space="preserve">Redwood (US): Volvo (together with Ford) supply their batteries for Redwood recycling programme for EV and hybrids </t>
  </si>
  <si>
    <t>https://www.electrive.com/2022/02/18/redwood-materials-sources-batteries-from-ford-volvo/</t>
  </si>
  <si>
    <t>BASF : recycle production waste from Cellforce manufacturing
Redwood (US)
Strategic Agreement with Ganfeng Lithium (China)
Volkswagen’s Chinese battery partner Gotion High-Tech : battery recycling in Hefei</t>
  </si>
  <si>
    <t xml:space="preserve">BASF: https://www.electrive.com/2021/07/21/basf-selected-as-cell-development-partner-by-cellforce/
Redwood: https://europe.autonews.com/automakers/vw-partners-redwood-recycle-ev-batteries
Ganfeng: https://kr-asia.com/volkswagen-ties-up-with-ganfeng-lithium-for-battery-supply-and-recycling 
Gotion: https://www.electrive.com/2021/03/23/gotion-to-construct-battery-recycling-plant-in-hefei/ </t>
  </si>
  <si>
    <t>Redwood (US)
Albermarle: explore collaboration on closed-loop solution for lithium-ion battery recycling</t>
  </si>
  <si>
    <t>Redwood: https://media.ford.com/content/fordmedia/fna/us/en/news/2021/09/22/ford-redwood-materials-battery-recycling.html
Albermarle: https://www.albemarle.com/news/albemarle-establishes-strategic-agreement-with-ford-motor-company</t>
  </si>
  <si>
    <t>1 in-house R&amp;D
2 partnerships</t>
  </si>
  <si>
    <t>MoU for domestic private-public partnership to create recycling ecosystem for used batteries with Eva Cycle, Ecopro, North Gyeongsang Provincial Government, Gyeongbuk Technopark 
SK Innovation (Korea): collaboration on battery reuse and recycling
Lithion Recycling (Canada): battery recycling</t>
  </si>
  <si>
    <t>1 in-house R&amp;D
1 joint R&amp;D project
3 partnerships</t>
  </si>
  <si>
    <t>1 plant in construction in Europe
3 partnerships</t>
  </si>
  <si>
    <t>1 in-house R&amp;D
2 JVs with 1 plant in construction
1 partnership</t>
  </si>
  <si>
    <t>1 in-house plant running
1 partnerships  in Europe</t>
  </si>
  <si>
    <t>1 in-house R&amp;D
1 partnership</t>
  </si>
  <si>
    <t>1 plant running
1 JV
1 R&amp;D consortium
4 partnerships</t>
  </si>
  <si>
    <t>Re-factory (France and Spain) : dismantling, sorting, repair
Joint consortium with Veolia &amp; Solvay, with demonstration plant running</t>
  </si>
  <si>
    <t>France: https://www.renaultgroup.com/en/news-on-air/news/re-factory-the-flins-site-enters-the-circle-of-the-circular-economy/
Spain: https://www.electrive.com/2021/11/06/renault-plans-refactory-to-build-circular-ev-economy-in-spain/
Consortium: https://www.solvay.com/en/press-release/solvay-and-its-partner-veolia-set-demo-plant-recycling-battery-metals</t>
  </si>
  <si>
    <t>1 in-house R&amp;D
1 joint consotrium with plant running
2 partnerships</t>
  </si>
  <si>
    <t>Innovation: Solid State Batteries (SSB) and other innovations</t>
  </si>
  <si>
    <t>Solid-state: Ilika (UK)</t>
  </si>
  <si>
    <t>JV &amp; Direct investments</t>
  </si>
  <si>
    <t>In-House cell production</t>
  </si>
  <si>
    <t>BMW Brilliance Automotive JV (China)
Northvolt (Sweden, Germany)</t>
  </si>
  <si>
    <t>JV: https://www.press.bmwgroup.com/global/article/detail/T0417101EN/on-20th-anniversary-of-chinese-joint-venture-bmw-brilliance-automotive-bmw-group-announces-local-production-of-neue-klasse-in-china-from-2026?language=en
https://europe.autonews.com/suppliers/vw-bmw-invest-swedish-battery-cell-producer-northvolt</t>
  </si>
  <si>
    <t>Michigan: https://www.reuters.com/business/autos-transportation/ford-pauses-work-35-billion-battery-plant-michigan-2023-09-25/</t>
  </si>
  <si>
    <t>ACC (France, Italy, Germany)
Farasis (China)</t>
  </si>
  <si>
    <t>ACC: https://www.acc-emotion.com/stories/automotive-cells-company-acc-welcomes-mercedes-benz-future-equal-shareholder-alongside
Farasis: https://group.mercedes-benz.com/innovation/drive-systems/electric/mercedes-benz-and-farasis.html</t>
  </si>
  <si>
    <t>ACC (France, Italy, Germany)
JV with LG Chem (Canada)
JV with Samsung SDI (US)</t>
  </si>
  <si>
    <t>In-house (Texas, US)
Berlin: Tesla is currently prioritising battery cell production in the US, where it can benefit from IRA production credits. Despite applying for an environmental permit to expand the Berlin factory, Tesla has not yet confirmed whether they will go ahead with their plans. The environmental permit will allow them to implement their plan quickly if they eventually decide to go ahead.</t>
  </si>
  <si>
    <t>Collaboration with Panasonic (Nevada, US)</t>
  </si>
  <si>
    <t>Texas: https://electrek.co/2023/10/11/tesla-4680-battery-cell-production-breakthrough/
Berlin: https://www.reuters.com/technology/tesla-scales-back-german-battery-plans-won-over-by-us-incentives-2023-02-21/</t>
  </si>
  <si>
    <t>Panasonic: https://www.reuters.com/business/autos-transportation/panasonic-boost-battery-output-teslas-nevada-gigafactory-nikkei-2023-06-05/</t>
  </si>
  <si>
    <t>In-house gigafactory plans in Michigan (US) on hold</t>
  </si>
  <si>
    <t xml:space="preserve">In-house (Japan, US)
</t>
  </si>
  <si>
    <t xml:space="preserve">In-house: https://global.toyota/en/newsroom/corporate/37964997.html
</t>
  </si>
  <si>
    <t>JV: https://global.toyota/en/newsroom/corporate/37964997.html</t>
  </si>
  <si>
    <t>Powerco (Germany, Spain, Canada)</t>
  </si>
  <si>
    <t>Northvolt (Sweden, Germany)
Gotion High-Tech (Germany, China)
Cellforce Group (Germany): JV between Porsche and Customcells</t>
  </si>
  <si>
    <t>Powerco: https://www.volkswagen-newsroom.com/en/press-releases/gigafactory-valencia-powerco-gives-starting-signal-for-construction-of-second-cell-factory-15641
Canada: https://www.volkswagen-newsroom.com/en/press-releases/volkswagen-group-steps-up-activities-in-north-america-canada-chosen-as-location-for-first-overseas-gigafactory-of-its-battery-company-powerco-se-15615</t>
  </si>
  <si>
    <t>Northvolt (Sweden, Germany): https://www.volkswagen-newsroom.com/en/press-releases/volkswagen-invests-a-further-500-million-in-sustainable-battery-activities-with-northvolt-ab-7246
Gotion: https://www.electrive.com/2021/12/15/vw-is-now-majority-owner-of-gotion-high-tech/
Cellforce: https://www.electrive.com/2022/10/19/cellforce-plans-to-significantly-expand-battery-production-capacities/</t>
  </si>
  <si>
    <r>
      <rPr>
        <sz val="10"/>
        <color theme="1"/>
        <rFont val="Calibri"/>
        <family val="2"/>
        <scheme val="minor"/>
      </rPr>
      <t>SSB: Prologium (Taiwan with a gigafactory planned in Europe), Factorial Energy (US), Hydro-Québec (Canada)
StoreDot (Israel): fast-charging silicon-dominated battery cells
Sila Nanotechnologies (US): high-Silicon Anode</t>
    </r>
    <r>
      <rPr>
        <sz val="10"/>
        <rFont val="Calibri"/>
        <family val="2"/>
        <scheme val="minor"/>
      </rPr>
      <t xml:space="preserve">
IBM (US): Nickel and cobalt-free battery using materials extracted from seawater</t>
    </r>
  </si>
  <si>
    <t>R&amp;D: https://www.renaultgroup.com/en/news-on-air/news/batteries-and-electric-vehicles-everything-you-need-to-know-about-renault-groups-activities-in-france/
Nissan: https://www.electrive.com/2022/01/27/renault-nissan-mitsubishi-kicks-up-a-gear-in-e-mobility-planning/
Ionic Materials: https://www.electrive.com/2018/02/08/ionic-materials-gathers-investment-capital/
Enevate: https://alliancernm.com/2022/01/26/alliance-ventures-invests-in-enevate-to-advance-li-ion-battery-technology-for-electric-vehicles/</t>
  </si>
  <si>
    <t>Human rights policies refering to UN principles</t>
  </si>
  <si>
    <t>Indigenous rights policies</t>
  </si>
  <si>
    <t>Blade Battery: https://www.byd.com/eu/blog/BYDs-revolutionary-Blade-Battery-all-you-need-to-know.html
Soldium: https://electrek.co/2023/06/12/byd-joint-venture-mass-producing-sodium-ion-ev-batteries/
CTB: https://equalocean.com/briefing/20220520230135452
SSB: https://news.metal.com/newscontent/101690892/here-comes-the-solid-state-battery-the-lithium-giant-says-it-can-be-mass-produced-and-loaded-at-any-time</t>
  </si>
  <si>
    <t>Umicore: recycling of ACC production waste in Nersac's pilot plant
Brunp (China): recycling
Canadian Government: MoU to explore deeper cooperation across all stages of the value chain including recycling 
Neometal (Germany)</t>
  </si>
  <si>
    <t>Umicore: https://www.umicore.de/en/media/press-releases/umicore-introduces-new-generation-li-ion-battery-recycling-technologies-and-announces-award-with-acc/
Brump: https://www.electrive.com/2023/03/14/mercedes-catl-subsidiary-brunp-announce-battery-recycling-cooperation/
Canada: https://group.mercedes-benz.com/company/news/memorandum-of-understanding-canada.html 
Neometal: https://www.cruxinvestor.com/posts/neometals-secures-battery-recycling-contract-with-mercedes-benz</t>
  </si>
  <si>
    <t>Memorandum of Understanding (MoU) signed with the Government of Canada to explore deeper cooperation across all stages of the automotive value chain – from technical development and the extraction of raw materials, to production, service life and recycling. Only mention lithium with Rock Tech.</t>
  </si>
  <si>
    <t>Innovations</t>
  </si>
  <si>
    <t xml:space="preserve">Points are allocated in the following order:
The maximum score (10 points) is awarded to carmakers that are already running recycling projects or have at least started the plant construction. 
7.5 points are awarded to carmakers that have in-house R&amp;D and have at least started the construction of a recycling plant as part of a joint venture. 
Then, 5 points are awarded for carmakers having either in-house research &amp; development (R&amp;D) projects and partnerships with recycling companies. 
A lower score (2.5 point) is awarded to carmakers having recycling R&amp;D but lacking any recycling partners. </t>
  </si>
  <si>
    <t>T&amp;E’s ‘battery cell manufacturing’ score (20 points) is designed to reward carmakers with more vertical integration of the battery cell supply chain. Points are awarded in the following order: 
- The highest score is awarded to in-house cell production (20 points), 
- Next for the set-up of a joint venture and direct investment (equity) to support a battery cell supplier (15 points), 
- Then long term partnerships with a cell supplier are given 10 points, and 
- Finally, contracts with suppliers without long-term partnerships publicly advertised get a 5 score.
Scope: Global</t>
  </si>
  <si>
    <t>The maximum point (4 points) is awarded to carmakers having a joint venture or direct investment in CAM/pCAM projects.
2 point is awared for other contract type (long term supply/offtake agreement or MoU).
Scope: Global</t>
  </si>
  <si>
    <t>The point is awarded to carmakers having at least one contract for anode materials.
Scope: Global</t>
  </si>
  <si>
    <t>Agratas: https://www.electrive.com/2023/06/14/jlr-to-source-battery-cells-from-agratas/</t>
  </si>
  <si>
    <t>JV &amp; In-House cell production in Europe</t>
  </si>
  <si>
    <t>Long-term partnership with companies having production in Europe</t>
  </si>
  <si>
    <t>Other suppliers for the European production (no long-term contract publicly disclosed by the OEM)</t>
  </si>
  <si>
    <t>Vertical integration in Europe</t>
  </si>
  <si>
    <t>Cell manufacturing (/10)</t>
  </si>
  <si>
    <t>Northvolt (Sweden, Germany)</t>
  </si>
  <si>
    <t>https://europe.autonews.com/suppliers/vw-bmw-invest-swedish-battery-cell-producer-northvolt</t>
  </si>
  <si>
    <t xml:space="preserve">CATL (Germany)
Samsung SDI (Hungary)
EVE Energy (Hungary) </t>
  </si>
  <si>
    <t>CATL, EVE Energy: https://www.press.bmwgroup.com/global/article/detail/T0403470EN/more-performance-co2-reduced-production-significantly-lower-costs:-bmw-group-to-use-innovative-round-bmw-battery-cells-in-neue-klasse-from-2025?language=en
Samsung SDI: https://www.electrive.com/2023/01/12/samsung-sdi-plans-to-produce-round-battery-cells-in-hungary/</t>
  </si>
  <si>
    <t>Svolt (Germany)</t>
  </si>
  <si>
    <t>1 direct investment
3 long-term partners
1 other supplier</t>
  </si>
  <si>
    <t>SK On: https://europe.autonews.com/automakers/ford-said-favor-lg-over-sk-turkey-battery-plant
LG: https://lgensol.pl/en/lg-energy-solution-solidifies-collaboration-with-ford-by-upgrading-battery-production/
CATL: https://www.catl.com/en/news/968.html</t>
  </si>
  <si>
    <t>Samsung SDI (Hungary)</t>
  </si>
  <si>
    <t>Samsung SDI: https://insideevs.com/news/449322/samsung-sdi-root-ford-bmw-phev-recalls/</t>
  </si>
  <si>
    <t>SK Innovation (Hungary)
Samsung SDI (Hungary)</t>
  </si>
  <si>
    <t>LG Chem (Poland)</t>
  </si>
  <si>
    <t>https://www.electrive.com/2020/04/24/lg-chem-secures-ehalf-a-billion-for-polish-factory-expansion/</t>
  </si>
  <si>
    <t>2 long-term partner
1 other supplier</t>
  </si>
  <si>
    <t>Samsung SDI (Hungary)
LG Chem (Poland)</t>
  </si>
  <si>
    <t>Samsung: https://www.koreatimes.co.kr/www/tech/2023/07/129_255094.html
LG: https://www.designnews.com/automotive-engineering/jaguar-ev-batteries-are-headed-second-life-power-stations</t>
  </si>
  <si>
    <t>1 in-house
2 other suppliers</t>
  </si>
  <si>
    <t xml:space="preserve">ACC (France, Italy, Germany)
</t>
  </si>
  <si>
    <t>https://www.acc-emotion.com/stories/automotive-cells-company-acc-welcomes-mercedes-benz-future-equal-shareholder-alongside</t>
  </si>
  <si>
    <t>SKOn (Hungary)
LG Chem (Poland)</t>
  </si>
  <si>
    <t>SKOn: https://www.electrive.com/2019/01/02/sk-innovation-plans-major-boost-of-battery-cell-production-by-2022/
LG Chem: https://europe.autonews.com/automakers/daimler-says-no-battery-bottleneck-eqc-electric-crossover</t>
  </si>
  <si>
    <t>1 JV
1 long-term partner
2 other suppliers</t>
  </si>
  <si>
    <t>LG Chem (Poland)
Envision AESC (UK and France)</t>
  </si>
  <si>
    <t>1 direct investment
2 long-term partners</t>
  </si>
  <si>
    <t>ACC: https://www.acc-emotion.com/about-acc</t>
  </si>
  <si>
    <t>CATL (Germany)
Samsung (Hungary)
LG Chem (Poland)</t>
  </si>
  <si>
    <t>1 JV
1 long-term partner
3 other suppliers</t>
  </si>
  <si>
    <t>Tesla is currently prioritising battery cell production in the US, where it can benefit from IRA production credits. Despite applying for an environmental permit to expand the Berlin factory, Tesla has not yet confirmed whether they will go ahead with their plans. The environmental permit will allow them to implement their plan quickly if they eventually decide to go ahead.</t>
  </si>
  <si>
    <t>https://www.reuters.com/technology/tesla-scales-back-german-battery-plans-won-over-by-us-incentives-2023-02-21/</t>
  </si>
  <si>
    <t>Tesla has long-term partnerships with LG Chem and CATL. Both companies have cell production in Europe.</t>
  </si>
  <si>
    <t>https://www.reuters.com/article/us-tesla-china-catl-idINKBN1ZT16G</t>
  </si>
  <si>
    <t>2 long-term partners</t>
  </si>
  <si>
    <t>CATL</t>
  </si>
  <si>
    <t>https://global.toyota/en/newsroom/corporate/28913488.html?adid=ag478_mail&amp;padid=ag478_mail</t>
  </si>
  <si>
    <t>Svolt</t>
  </si>
  <si>
    <t>Assumption from LMC Automotive</t>
  </si>
  <si>
    <t>1 long-term partner
1 other supplier</t>
  </si>
  <si>
    <t>CATL (Germany)
LG Chem (Poland)</t>
  </si>
  <si>
    <t>1 JV
2 long-term partners</t>
  </si>
  <si>
    <t>LG Chem (Poland)
CATL (Germany)</t>
  </si>
  <si>
    <t>https://uploads.vw-mms.de/system/production/files/vwn/014/540/file/26892c5d4e8b1d337a52b3c105314245ef463203/Background_Volkswagen_Group_s_battery_strategy.pdf</t>
  </si>
  <si>
    <t>Samsung: http://www.businesskorea.co.kr/news/articleView.html?idxno=110350</t>
  </si>
  <si>
    <t>1 in-house
1 JV
2 direct investments
2 long-term partner
1 other supplier</t>
  </si>
  <si>
    <t>Processed battery metals</t>
  </si>
  <si>
    <t>RockTech: https://group.mercedes-benz.com/company/news/memorandum-of-understanding-canada.html
Sila: https://pv-magazine-usa.com/2023/04/04/mercedes-benz-a-first-customer-of-battery-material-that-boosts-range-by-20/
ACC/Umicore: https://www.umicore.com/en/newsroom/umicore-and-acc-enter-strategic-partnership-for-ev-battery-materials-in-europe/</t>
  </si>
  <si>
    <t>Umicore: https://www.volkswagen-newsroom.com/en/press-releases/powerco-and-umicore-get-official-go-to-start-joint-venture-for-eu-battery-materials-production-15646
Huayou: https://www.reuters.com/business/autos-transportation/volkswagen-china-says-will-form-ventures-with-huayou-cobalt-tsingshan-group-2022-03-21/
Nano One: https://seekingalpha.com/article/4414261-nano-one-vw-power-day-update
BASF: https://www.reuters.com/business/autos-transportation/volkswagen-seeks-partnerships-battery-materials-race-2021-06-15/</t>
  </si>
  <si>
    <t>Processed metals (/10)</t>
  </si>
  <si>
    <t>BMW-Northvolt-Umicore joint technology consortium
Duesenfeld (Germany): development of a method to increase recycling rate</t>
  </si>
  <si>
    <t>Umicore: https://www.umicore.com/en/newsroom/bmw-group-northvolt-and-umicore-join-forces-to-develop-sustainable-life-cycle-loop-for-batteries/
Duesenfeld: https://insideevs.com/news/436066/bmw-group-ev-battery-recycling-rate-96</t>
  </si>
  <si>
    <t>1 partnership</t>
  </si>
  <si>
    <t>Licular subsidiary (Germany): recycling pilot plant in Kuppenheim, first stage of the plant planned end of 2023
Umicore: recycling of ACC production waste in Nersac's pilot plant</t>
  </si>
  <si>
    <t>Licular: https://www.electrive.com/2022/07/05/battery-recycling-project-to-take-off-with-mercedes-in-germany/
https://group.mercedes-benz.com/company/news/recycling-factory-kuppenheim.html
Umicore: https://www.umicore.de/en/media/press-releases/umicore-introduces-new-generation-li-ion-battery-recycling-technologies-and-announces-award-with-acc/</t>
  </si>
  <si>
    <t>France: https://www.renaultgroup.com/en/news-on-air/news/re-factory-the-flins-site-enters-the-circle-of-the-circular-economy/
Spain: https://www.electrive.com/2021/11/06/renault-plans-refactory-to-build-circular-ev-economy-in-spain/
Veolia: https://www.veolia.com/en/newsroom/press-releases/groupe-renault-veolia-solvay-join-forces-recycle-end-life-ev-battery-metals</t>
  </si>
  <si>
    <t>1 in-house plant in construction
1 partnership</t>
  </si>
  <si>
    <t>Circular hub: https://www.stellantis.com/en/news/press-releases/2022/october/stellantis-fosters-circular-economy-ambitions-with-dedicated-business-unit-to-power-new-era-of-sustainable-manufacturing-and-consumption
Galloo: https://www.stellantis.com/en/news/press-releases/2023/june/stellantis-and-galloo-to-form-joint-venture-for-end-of-life-vehicle-recycling
Orano: https://www.electrive.com/2023/10/25/stellantis-and-orano-to-recycle-ev-batteries/
Umicore: https://www.umicore.de/en/media/press-releases/umicore-introduces-new-generation-li-ion-battery-recycling-technologies-and-announces-award-with-acc/
Recycling partner: https://www.stellantis.com/content/dam/stellantis-corporate/sustainability/csr-disclosure/stellantis/2022/Stellantis-2022-CSR-Report.pdf</t>
  </si>
  <si>
    <t>2 partnerships</t>
  </si>
  <si>
    <t>Volkswagen Group Components (Germany): Pilot plant in Salzgitter goes into operation
JV with Umicore: plan recycling at a later stage
BASF : recycle production waste from Cellforce manufacturing</t>
  </si>
  <si>
    <t>Components: https://www.volkswagen-newsroom.com/en/press-releases/transforming-old-into-new-volkswagen-group-components-commences-battery-recycling-6789
JV with Umicore: https://europe.autonews.com/automakers/vw-secures-raw-materials-part-34b-battery-push
BASF: https://www.electrive.com/2021/07/21/basf-selected-as-cell-development-partner-by-cellforce/</t>
  </si>
  <si>
    <t>1 in-house plant running
1 JV
1 partnership</t>
  </si>
  <si>
    <t>Rock Tech: lithium refined in Germany
ACC's partnership with Umicore for CAM</t>
  </si>
  <si>
    <t>Investment in Arven Group (France) for geothermal lithium
Processed lithium from Vulcan integrated production (Germany)
Processed nickel from Terrafame's integrated production (Finland)</t>
  </si>
  <si>
    <t>Terrafame: https://www.terrafame.com/newsroom/news/terrafame-and-renault-group-agree-on-long-term-supply-of-sustainable-nickel-sulphate.html
Vulcan: https://www.reuters.com/markets/asia/australias-vulcan-energy-inks-second-lithium-supply-deal-with-renault-2021-11-21/
Arverne: https://arverne.earth/wp-content/uploads/2023/09/CP_Arverne-Group-sintroduit-en-bourse.pdf</t>
  </si>
  <si>
    <t>Processed lithium from Vulcan integrated production (Germany)
Processed nickel from Terrafame's integrated production (Finland)
ACC's partnership with Umicore for CAM</t>
  </si>
  <si>
    <t xml:space="preserve">Vulcan Energy: https://www.stellantis.com/en/news/press-releases/2022/june/stellantis-expands-relationship-with-vulcan-energy-becoming-shareholder-in-decarbonized-lithium-company
Terrafame: https://www.stellantis.com/en/news/press-releases/2023/january/stellantis-and-terrafame-agree-on-low-carbon-nickel-sulphate-supply-for-electric-vehicle-batteries
ACC/Umicore: https://www.umicore.com/en/newsroom/umicore-and-acc-enter-strategic-partnership-for-ev-battery-materials-in-europe/
</t>
  </si>
  <si>
    <t xml:space="preserve">Processed lithium from Vulcan integrated production (Germany)
JV with Umicore (Poland): Cathode material and precursors and refining at a later stage
Volkswagen is seeking closer ties with Germany's BASF
</t>
  </si>
  <si>
    <t>Recycling projects in Europe</t>
  </si>
  <si>
    <t>JV &amp; direct investments with companies operating in Europe</t>
  </si>
  <si>
    <t>Powerco (Germany, Spain)</t>
  </si>
  <si>
    <t>Cellforce Group (Germany): JV between Porsche and Customcells
Investment in Northvolt (Sweden, Germany)
Investment in Gotion High-Tech (Germany)</t>
  </si>
  <si>
    <t xml:space="preserve">Powerco: https://www.volkswagen-newsroom.com/en/press-releases/gigafactory-valencia-powerco-gives-starting-signal-for-construction-of-second-cell-factory-15641
</t>
  </si>
  <si>
    <t>Northvolt: https://www.volkswagen-newsroom.com/en/press-releases/volkswagen-invests-a-further-500-million-in-sustainable-battery-activities-with-northvolt-ab-7246
Gotion: https://www.electrive.com/2021/12/15/vw-is-now-majority-owner-of-gotion-high-tech/
Cellforce: https://www.electrive.com/2022/10/19/cellforce-plans-to-significantly-expand-battery-production-capacities/</t>
  </si>
  <si>
    <t>3 long-term partner
1 other supplier</t>
  </si>
  <si>
    <t xml:space="preserve">2 JV with 1 plant in construction
1 partnership
</t>
  </si>
  <si>
    <t>JV with Galloo to manage the reuse, remanufacturing and recycling of parts, including EV batteries
JV with Orano with a recycling plant in construction in France
Umicore: recycling of ACC production waste in Nersac's pilot plant</t>
  </si>
  <si>
    <t>2 partnership</t>
  </si>
  <si>
    <t>Tata's subsidiary Agratas (UK)</t>
  </si>
  <si>
    <t>Agratas (UK)
Recovas (UK)</t>
  </si>
  <si>
    <t>Veolia &amp; Solvay (France)</t>
  </si>
  <si>
    <t>1 in-house project
1 partnership</t>
  </si>
  <si>
    <t>Development of in-house process</t>
  </si>
  <si>
    <t>Plans for in-house recycling in berlin are not confirmed
Umicore (2011)</t>
  </si>
  <si>
    <t>1 in-house project</t>
  </si>
  <si>
    <t>Battery cell resilience (/10)</t>
  </si>
  <si>
    <t>Processed battery metals resilience</t>
  </si>
  <si>
    <t>Processed battery metals resilience (/10)</t>
  </si>
  <si>
    <t>1 JV for pCAM/CAM
1 supply agreements for processed lithium</t>
  </si>
  <si>
    <t>1 supply agreements for CAM throught ACC
1 supply agreements for processed lithium</t>
  </si>
  <si>
    <t>1 supply agreements for for CAM throught ACC
1 direct investment for processed lithium
1 supply agreements for processed nickel</t>
  </si>
  <si>
    <t>Processed battery metals in Europe</t>
  </si>
  <si>
    <t>Battery recycling in Europe</t>
  </si>
  <si>
    <t>Battery cell resilience</t>
  </si>
  <si>
    <t>The battery cell resilience score (10 points) is designed to reward carmakers with more vertical integration in the battery cell supply chain in Europe. Points are awarded in the following order: 
- The highest score is awarded to in-house cell production (10 points), 
- Next for the set-up of a joint venture and direct investment (equity) to support a battery cell supplier (7.5 points), 
- Then long term partnerships with a cell supplier are given 5 points, and 
- Finally, contracts with suppliers without long-term partnerships publicly advertised get a 2.5 score.
Scope: Europe</t>
  </si>
  <si>
    <t>The maximum point (5 points) is awarded to carmakers having a joint venture or direct investment in CAM/pCAM projects.
2.5 point is awarded for other contract type (long term supply/offtake agreement or MoU).
Scope: Europe</t>
  </si>
  <si>
    <t>Others (anode, refining)</t>
  </si>
  <si>
    <t>The maximum point (5 points) is awarded to carmakers having a joint venture or direct investment in an other type of processed material project (anode, refining)
2.5 point is awarded for other contract type (long term supply/offtake agreement or MoU).
Scope: Europe</t>
  </si>
  <si>
    <t>Battery recycling resilience</t>
  </si>
  <si>
    <t>T&amp;E's EU resilience score</t>
  </si>
  <si>
    <t>Battery recycling resilience (/5)</t>
  </si>
  <si>
    <t>EU resilience (/25)</t>
  </si>
  <si>
    <t>Points are allocated in the following order:
The maximum score (5 points) is awarded to carmakers that are already running a recycling plant or have at least started the plant construction. 
4 points are awarded to carmakers that have in-house projects or have at least started the construction of a recycling plant as part of a joint venture. 
Then, 2.5 points are awarded to carmakers having partnerships with recycling companies. 
Scopre: Europe</t>
  </si>
  <si>
    <t>EU resilience score (/25)</t>
  </si>
  <si>
    <t>Recycling (/5)</t>
  </si>
  <si>
    <t>Initiatives (/1)</t>
  </si>
  <si>
    <t>Indigenous rights (/1)</t>
  </si>
  <si>
    <t>Midstream supply chain</t>
  </si>
  <si>
    <t>1 direct investment for processed lithium
2 supply agreements for processed lithium and nickel</t>
  </si>
  <si>
    <t>More than 50% of lithium demand secured
7 long-term supply/offtake agreements
2 MoU/non-binding agreements</t>
  </si>
  <si>
    <t>More than 50% of nickel demand secured
1 direct investment
1 long-term supply/offtake agreements
2 MoU/non-binding agreements</t>
  </si>
  <si>
    <t xml:space="preserve">Umicore: https://www.toyota-europe.com/sustainability/circularity
Redwood: https://europe.autonews.com/automakers/toyota-joins-redwood-materials-battery-recycling-initiative-us
US: https://www.toyota.com/usa/environmentalsustainability/materials/how-we-recycle-hybrid-vehicle-batteries </t>
  </si>
  <si>
    <t>Umicore (Belgium) and Reneos (rest of Europe)
Redwood (US)
Toyota Motor North Amercia: hybrid battery recycling programm with partners since 2010, includes Li-Ion batteries since 2019</t>
  </si>
  <si>
    <t>Panasonic and Toyota have started joint research with the University of Tokyo on battery resources and recycling
Toyota opened battery recycling facility in Thailand for HEV battery but public data do not confirm if BEV battery can be recycled there</t>
  </si>
  <si>
    <t>Panasonic: https://www.electrive.com/2022/01/26/panasonic-toyota-tokyo-uni-join-forces-to-further-battery-circular-economy/
TMNA: 
Thailand: https://www.dsf.my/2019/09/toyota-is-recycling-hybrid-batteries-in-thailand-for-export/</t>
  </si>
  <si>
    <t>1 R&amp;D
3 partnerships</t>
  </si>
  <si>
    <t>Duesenfeld (Germany): development of a method to increase recycling rate
Mangrove Lithium (Canada): investments to expand a process to transform virgin and recycled raw lithium into battery-grade material
Huayou (China): deal with raw materials producer Huayou Cobalt to recycle used EV batteries and retun raw materials for reuse
BMW Brilliance Automotive (China) has established a closed cycle recycling operation in China with a local partner</t>
  </si>
  <si>
    <t>Duesenfeld: https://insideevs.com/news/436066/bmw-group-ev-battery-recycling-rate-96
Mangrove: https://www.electrive.com/2022/05/18/bmw-i-ventures-invests-in-mangrove-lithium/
Huayou: https://source.benchmarkminerals.com/article/bmw-teams-up-with-huayou-to-recycle-batteries 
Brillance: https://www.press.bmwgroup.com/global/article/detail/T0393733EN/bmw-group-creates-closed-recycling-loop-for-high-voltage-batteries-in-china</t>
  </si>
  <si>
    <t xml:space="preserve">1 R&amp;D
4 partnerships
</t>
  </si>
  <si>
    <t xml:space="preserve">Volkswagen Group Components (Germany): Pilot plant in Salzgitter goes into operation.
JV with Umicore: plan recycling at a later stage
HVBatCycle research consortium: VW-led partnership of industrial and scientific communities for closed loop and multiple recycling
</t>
  </si>
  <si>
    <t>Umicore: https://www.umicore.com/en/newsroom/bmw-group-northvolt-and-umicore-join-forces-to-develop-sustainable-life-cycle-loop-for-batteries/
In-house R&amp;D: https://theevreport.com/bmw-group-unveils-battery-cell-production-in-parsdorf</t>
  </si>
  <si>
    <t xml:space="preserve">BMW-Northvolt-Umicore joint technology consortium
As part of R&amp;D at the Cell Manufacturing Competence Centre, BMW plans to develop battery recycling
</t>
  </si>
  <si>
    <t>More than 50% of demand secured
1 JV</t>
  </si>
  <si>
    <t>Score / 5</t>
  </si>
  <si>
    <t>Score /  5</t>
  </si>
  <si>
    <t>Score /10</t>
  </si>
  <si>
    <t>Score /5</t>
  </si>
  <si>
    <t>Battery recycling (/5)</t>
  </si>
  <si>
    <t>Battery cell manufacturing (/15)</t>
  </si>
  <si>
    <t>Cell manufacturing (/15)</t>
  </si>
  <si>
    <t>Total /60</t>
  </si>
  <si>
    <t>Innovation (/5)</t>
  </si>
  <si>
    <t>LFP share in 2022</t>
  </si>
  <si>
    <t>LFP (/2)</t>
  </si>
  <si>
    <t>Sust. processes (/4.5)</t>
  </si>
  <si>
    <t>IRMA (/2)</t>
  </si>
  <si>
    <t>Responsible sourcing (/3)</t>
  </si>
  <si>
    <t>Digital tracing (/1.5)</t>
  </si>
  <si>
    <t>Human rights (/2)</t>
  </si>
  <si>
    <t>Responsible supply chain practices (/15)</t>
  </si>
  <si>
    <t>Total (/15)</t>
  </si>
  <si>
    <t>Total (/25)</t>
  </si>
  <si>
    <t>Innovation</t>
  </si>
  <si>
    <t>Battery cell strategy (/25)</t>
  </si>
  <si>
    <t>LFP share in 2022 (/2)</t>
  </si>
  <si>
    <t>Battery chemistry (/5)</t>
  </si>
  <si>
    <t>Battery chemistry</t>
  </si>
  <si>
    <t>JLR and Agratas want to work together on recycling solutions
Ascent Elements (US): investment in US-based compagny that will use hydro-to-cathode” technology to processes black matter from recycled electric vehicle batteries directly into new cathode materials. The plant opened in March 2023.</t>
  </si>
  <si>
    <t>Agratas: https://www.electrive.com/2023/06/14/jlr-to-source-battery-cells-from-agratas/
Battery Ressourcers: https://www.jaguarlandrover.com/news/2021/04/jaguar-land-rovers-inmotion-ventures-invests-battery-recycling-and-manufacturing
Ascend Elements: https://www.electrive.com/2022/10/27/ascend-elements-raises-300-million/
Ascend Element opening: https://www.covnews.com/news/business/covington-plant-opens-as-north-americas-largest-electric-vehicle-battery-recycling-facility/</t>
  </si>
  <si>
    <t>1 in-house R&amp;D 
1 investments (US) with plant running
1 R&amp;D partnership in Europe</t>
  </si>
  <si>
    <t>Maximum score (5 points) for carmakers having 50% of their 2030 lithium demand secured. 
Quantity of lithium secured based on public information (carmakers website and press releases). 
Lithium demand based on T&amp;E analysis: for each carmaker, the 2030 battery demand and battery chemistry from GlobalData's global production forecast lead to the quantity of lithium required, then a correction factor is applied to account for the difference between GlobalData's forecast and carmakers global BEV targets. Lithium content per chemistry based on BloombergNEF's Lithium-Ion Batteries State of the Industry 2022 database and T&amp;E assumptions.
Scope: lithium required for the global BEV production (including vans and commercial light vehicle) expected in 2030.</t>
  </si>
  <si>
    <t>Maximum score (5 points) for carmakers having 50% of their 2030 nickel demand secured. 
Quantity of nickel secured based on public information (carmakers website and press releases). 
Lithium demand based on T&amp;E analysis: for each carmaker, the 2030 battery demand and battery chemistry from GlobalData's global production forecast lead to the quantity of nickel required, then a correction factor is applied to account for the difference between GlobalData's forecast and carmakers global BEV targets. Nickel content per chemistry based on BloombergNEF's Lithium-Ion Batteries State of the Industry 2022 database and T&amp;E assumptions.
Scope: nickel required for the global BEV production (including vans and commercial light vehicle) expected in 2030.</t>
  </si>
  <si>
    <t>Maximum score (5 points) for carmakers having 50% of their 2030 cobalt demand secured. 
Quantity of cobalt secured based on public information (carmakers website and press releases). 
Lithium demand based on T&amp;E analysis: for each carmaker, the 2030 battery demand and battery chemistry from GlobalData's global production forecast lead to the quantity of cobalt required, then a correction factor is applied to account for the difference between GlobalData's forecast and carmakers global BEV targets. Cobalt content per chemistry based on BloombergNEF's Lithium-Ion Batteries State of the Industry 2022 database and T&amp;E assumptions.
Scope: cobalt required for the global BEV production (including vans and commercial light vehicle) expected in 2030.</t>
  </si>
  <si>
    <t>Qualitative assessment of lithium contracts based public information (carmaker website and press releases). Points are awarded in the following order:
Carmakers having their own subsidiary, a joint venture or direct investments in a mining or refining company get the maximum score (10 points) as they directly support the development of new projects, and therefore are guaranteed to access the material. Companies having a large number of contracts securing more than 50% of ther 2030 demand are also rewarded with 10 points.
Carmakers only having long-term supply contracts are awarded 5 points as these still provide planning certainty and visibility to the mining sector. 
OEMs’ use of more uncertain memorandums of understanding (MoU) and non-binding contracts give a minimum score of 2.5 point. 
Scope: global battery raw material sourcing including mining, refining and integrated process (mining+refining)</t>
  </si>
  <si>
    <t>Qualitative assessment of nickel contracts based public information (carmaker website and press releases). Points are awarded in the following order:
Carmakers having their own subsidiary, a joint venture or direct investments in a mining or refining company get the maximum score (10 points) as they directly support the development of new projects, and therefore are guaranteed to access the material. Companies having a large number of contracts securing more than 50% of ther 2030 demand are also rewarded with 10 points. OEMs going to nickel-free chemistries get 10 points.
Carmakers only having long-term supply contracts are awarded 5 points as these still provide planning certainty and visibility to the mining sector. 
OEMs’ use of more uncertain memorandums of understanding (MoU) and non-binding contracts give a minimum score of 2.5 point. 
Scope: global battery raw material sourcing including mining, refining and integrated process (mining+refining)</t>
  </si>
  <si>
    <t>Qualitative assment of cobalt contracts based public information (carmaker website and press releases). Points are awarded in the following order:
Carmakers having their own subsidiary, a joint venture or direct investments in a mining company get the maximum score (10 points) as they directly support the development of new projects, and therefore are guaranteed to access the material. Companies having a large number of contracts securing more than 50% of ther 2030 demand are also rewarded with 10 points. OEMs going to cobalt-free chemistries get 10 points.
Carmakers only having long-term supply contracts are awarded 5 points as these still provide planning certainty and visibility to the mining sector. 
OEMs’ use of more uncertain memorandums of understanding (MoU) and non-binding contracts give a minimum score of 2.5 point. 
Scope: global battery raw material sourcing including mining, refining and integrated process (mining+refining)</t>
  </si>
  <si>
    <t>Sodium-ion</t>
  </si>
  <si>
    <t>Sodium-ion (/1)</t>
  </si>
  <si>
    <t xml:space="preserve">In-house plans for its all-solid-state lithium metal laminated battery
BYD's Blade Battery and Cell-To-Body architecture
</t>
  </si>
  <si>
    <t>JV for sodium-ion battery</t>
  </si>
  <si>
    <t>Innovation (/2)</t>
  </si>
  <si>
    <t>2 points are awarded when carmaker have partners developping innovative battery technologies (based on public information). 
The maximum score (2 points) is awarded if the carmaker fully manages the innovative technology in-house and 1 point is awareded for partnerships</t>
  </si>
  <si>
    <t>Maximum score (2 points) for carmakers having 39% of their 2022 batteries using LFP based on GlobalData. 
39% is average LFP share in the passenger car market in 2022 according to BloombergNEF.</t>
  </si>
  <si>
    <t>Low-carbon processes (/4.5)</t>
  </si>
  <si>
    <t>Responsible battery minerals sourcing (/3)</t>
  </si>
  <si>
    <t>Average</t>
  </si>
  <si>
    <t>Battery material supply chain (/60)</t>
  </si>
  <si>
    <t>Battery material supply chain</t>
  </si>
  <si>
    <t>1 point is awarded for carmakers that are involved in the production of sodium-ion batteries in 2023</t>
  </si>
  <si>
    <t>Battery cell strategy</t>
  </si>
  <si>
    <t>Midstream (/15)</t>
  </si>
  <si>
    <t>Lithium spodumene concentrate</t>
  </si>
  <si>
    <t>Metal content</t>
  </si>
  <si>
    <t>PT Vale Indonesia Tbk and China’s Zhejiang Huayou Cobalt Co. (Indonesia): direct investment. The MHP produced in this project will be processed further cobalt sulphate.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</si>
</sst>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x14ac:knownFonts="1">
    <font>
      <sz val="11"/>
      <color theme="1"/>
      <name val="Calibri"/>
      <family val="2"/>
      <scheme val="minor"/>
    </font>
    <font>
      <sz val="10"/>
      <color theme="1"/>
      <name val="Calibri"/>
      <family val="2"/>
      <scheme val="minor"/>
    </font>
    <font>
      <sz val="10"/>
      <color theme="1"/>
      <name val="Arial"/>
      <family val="2"/>
    </font>
    <font>
      <sz val="10"/>
      <name val="Calibri"/>
      <family val="2"/>
      <scheme val="minor"/>
    </font>
    <font>
      <u/>
      <sz val="11"/>
      <color theme="10"/>
      <name val="Calibri"/>
      <family val="2"/>
      <scheme val="minor"/>
    </font>
    <font>
      <sz val="10"/>
      <name val="Arial"/>
      <family val="2"/>
    </font>
    <font>
      <b/>
      <sz val="10"/>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9"/>
      <name val="Arial"/>
      <family val="2"/>
    </font>
    <font>
      <b/>
      <sz val="16"/>
      <color theme="0"/>
      <name val="Calibri"/>
      <family val="2"/>
      <scheme val="minor"/>
    </font>
    <font>
      <sz val="16"/>
      <color theme="1"/>
      <name val="Calibri"/>
      <family val="2"/>
      <scheme val="minor"/>
    </font>
    <font>
      <b/>
      <sz val="12"/>
      <color theme="0"/>
      <name val="Calibri"/>
      <family val="2"/>
      <scheme val="minor"/>
    </font>
    <font>
      <sz val="12"/>
      <name val="Calibri"/>
      <family val="2"/>
      <scheme val="minor"/>
    </font>
    <font>
      <b/>
      <sz val="10"/>
      <color theme="0"/>
      <name val="Calibri"/>
      <family val="2"/>
      <scheme val="minor"/>
    </font>
    <font>
      <b/>
      <sz val="1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i/>
      <sz val="1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6795556505021"/>
        <bgColor indexed="65"/>
      </patternFill>
    </fill>
    <fill>
      <patternFill patternType="solid">
        <fgColor theme="9"/>
        <bgColor indexed="64"/>
      </patternFill>
    </fill>
    <fill>
      <patternFill patternType="solid">
        <fgColor theme="7"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7">
    <xf numFmtId="0" fontId="0" fillId="0" borderId="0"/>
    <xf numFmtId="0" fontId="4" fillId="0" borderId="0" applyNumberFormat="0" applyFill="0" applyBorder="0" applyAlignment="0" applyProtection="0"/>
    <xf numFmtId="9" fontId="7" fillId="0" borderId="0" applyFont="0" applyFill="0" applyBorder="0" applyAlignment="0" applyProtection="0"/>
    <xf numFmtId="0" fontId="9" fillId="0" borderId="2" applyNumberFormat="0">
      <alignment horizontal="left" vertical="center"/>
    </xf>
    <xf numFmtId="0" fontId="9" fillId="0" borderId="0" applyNumberFormat="0">
      <alignment horizontal="center" vertical="center"/>
    </xf>
    <xf numFmtId="0" fontId="5" fillId="0" borderId="0"/>
    <xf numFmtId="0" fontId="10" fillId="5" borderId="0" applyNumberFormat="0" applyFont="0" applyBorder="0" applyAlignment="0" applyProtection="0"/>
  </cellStyleXfs>
  <cellXfs count="308">
    <xf numFmtId="0" fontId="0" fillId="0" borderId="0" xfId="0"/>
    <xf numFmtId="0" fontId="3" fillId="0" borderId="1" xfId="0" applyFont="1" applyFill="1" applyBorder="1" applyAlignment="1">
      <alignment vertical="top" wrapText="1"/>
    </xf>
    <xf numFmtId="0" fontId="4" fillId="0" borderId="1" xfId="1" applyFill="1" applyBorder="1" applyAlignment="1">
      <alignment vertical="top" wrapText="1"/>
    </xf>
    <xf numFmtId="0" fontId="1" fillId="0" borderId="0" xfId="0" applyFont="1"/>
    <xf numFmtId="0" fontId="6" fillId="4" borderId="1" xfId="0" applyFont="1" applyFill="1" applyBorder="1" applyAlignment="1">
      <alignment vertical="center" readingOrder="1"/>
    </xf>
    <xf numFmtId="0" fontId="6" fillId="4" borderId="1" xfId="0" applyFont="1" applyFill="1" applyBorder="1" applyAlignment="1">
      <alignment horizontal="center" vertical="center"/>
    </xf>
    <xf numFmtId="0" fontId="1" fillId="0" borderId="0" xfId="0" applyFont="1" applyAlignment="1">
      <alignment vertical="center"/>
    </xf>
    <xf numFmtId="0" fontId="1" fillId="0" borderId="1" xfId="0" applyFont="1" applyBorder="1" applyAlignment="1">
      <alignment horizontal="left" vertical="center" readingOrder="1"/>
    </xf>
    <xf numFmtId="164" fontId="1" fillId="0" borderId="1" xfId="0" applyNumberFormat="1" applyFont="1" applyBorder="1" applyAlignment="1">
      <alignment vertical="center"/>
    </xf>
    <xf numFmtId="164" fontId="1" fillId="0" borderId="1" xfId="0" applyNumberFormat="1" applyFont="1" applyBorder="1" applyAlignment="1">
      <alignment horizontal="right" vertical="center"/>
    </xf>
    <xf numFmtId="0" fontId="8" fillId="0" borderId="0" xfId="0" applyFont="1"/>
    <xf numFmtId="0" fontId="0" fillId="0" borderId="0" xfId="0" applyAlignment="1">
      <alignment horizontal="left"/>
    </xf>
    <xf numFmtId="0" fontId="4" fillId="0" borderId="0" xfId="1"/>
    <xf numFmtId="0" fontId="0" fillId="0" borderId="1" xfId="0" applyBorder="1"/>
    <xf numFmtId="2" fontId="3" fillId="0" borderId="1" xfId="0" applyNumberFormat="1" applyFont="1" applyFill="1" applyBorder="1" applyAlignment="1">
      <alignment vertical="top" wrapText="1"/>
    </xf>
    <xf numFmtId="165" fontId="3" fillId="0" borderId="1" xfId="0" applyNumberFormat="1" applyFont="1" applyFill="1" applyBorder="1" applyAlignment="1">
      <alignment vertical="top" wrapText="1"/>
    </xf>
    <xf numFmtId="0" fontId="0" fillId="0" borderId="0" xfId="0"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3" fillId="0" borderId="7" xfId="0" applyFont="1" applyFill="1" applyBorder="1" applyAlignment="1">
      <alignment vertical="top" wrapText="1"/>
    </xf>
    <xf numFmtId="0" fontId="0" fillId="0" borderId="0" xfId="0" applyBorder="1"/>
    <xf numFmtId="0" fontId="4" fillId="0" borderId="5" xfId="1" applyFill="1" applyBorder="1" applyAlignment="1">
      <alignment vertical="top" wrapText="1"/>
    </xf>
    <xf numFmtId="0" fontId="4" fillId="0" borderId="4" xfId="1" applyFill="1" applyBorder="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10" xfId="0" applyFont="1" applyFill="1" applyBorder="1" applyAlignment="1">
      <alignment vertical="top" wrapText="1"/>
    </xf>
    <xf numFmtId="2" fontId="3" fillId="0" borderId="8" xfId="0" applyNumberFormat="1" applyFont="1" applyFill="1" applyBorder="1" applyAlignment="1">
      <alignment vertical="top" wrapText="1"/>
    </xf>
    <xf numFmtId="9" fontId="3" fillId="0" borderId="8" xfId="2" applyFont="1" applyFill="1" applyBorder="1" applyAlignment="1">
      <alignment vertical="top" wrapText="1"/>
    </xf>
    <xf numFmtId="0" fontId="3" fillId="0" borderId="11" xfId="0" applyFont="1" applyFill="1" applyBorder="1" applyAlignment="1">
      <alignment vertical="top" wrapText="1"/>
    </xf>
    <xf numFmtId="0" fontId="3" fillId="0" borderId="12" xfId="0" applyFont="1" applyFill="1" applyBorder="1" applyAlignment="1">
      <alignment vertical="top" wrapText="1"/>
    </xf>
    <xf numFmtId="0" fontId="1" fillId="2" borderId="15" xfId="0" applyFont="1" applyFill="1" applyBorder="1" applyAlignment="1">
      <alignment vertical="top" wrapText="1"/>
    </xf>
    <xf numFmtId="0" fontId="6" fillId="2" borderId="13" xfId="0" applyFont="1" applyFill="1" applyBorder="1" applyAlignment="1">
      <alignment vertical="top" wrapText="1"/>
    </xf>
    <xf numFmtId="0" fontId="1" fillId="2" borderId="14" xfId="0" applyFont="1" applyFill="1" applyBorder="1" applyAlignment="1">
      <alignment vertical="top" wrapText="1"/>
    </xf>
    <xf numFmtId="0" fontId="1" fillId="2" borderId="16" xfId="0" applyFont="1" applyFill="1" applyBorder="1" applyAlignment="1">
      <alignment vertical="top" wrapText="1"/>
    </xf>
    <xf numFmtId="0" fontId="6" fillId="2" borderId="17" xfId="0" applyFont="1" applyFill="1" applyBorder="1" applyAlignment="1">
      <alignment vertical="top" wrapText="1"/>
    </xf>
    <xf numFmtId="0" fontId="1" fillId="2" borderId="3" xfId="0" applyFont="1" applyFill="1" applyBorder="1" applyAlignment="1">
      <alignment vertical="top" wrapText="1"/>
    </xf>
    <xf numFmtId="0" fontId="3" fillId="0" borderId="18" xfId="0" applyFont="1" applyFill="1" applyBorder="1" applyAlignment="1">
      <alignment vertical="top" wrapText="1"/>
    </xf>
    <xf numFmtId="0" fontId="3" fillId="0" borderId="19" xfId="0" applyFont="1" applyFill="1" applyBorder="1" applyAlignment="1">
      <alignment vertical="top" wrapText="1"/>
    </xf>
    <xf numFmtId="0" fontId="0" fillId="0" borderId="1" xfId="0" applyBorder="1" applyAlignment="1">
      <alignment horizontal="center" vertical="center" wrapText="1"/>
    </xf>
    <xf numFmtId="9" fontId="0" fillId="0" borderId="5" xfId="2" applyFont="1" applyBorder="1" applyAlignment="1">
      <alignment horizontal="center" vertical="center"/>
    </xf>
    <xf numFmtId="9" fontId="0" fillId="0" borderId="6" xfId="2" applyFont="1" applyBorder="1" applyAlignment="1">
      <alignment horizontal="center" vertical="center"/>
    </xf>
    <xf numFmtId="165" fontId="0" fillId="0" borderId="7" xfId="2" applyNumberFormat="1" applyFont="1" applyBorder="1" applyAlignment="1">
      <alignment horizontal="center" vertical="center"/>
    </xf>
    <xf numFmtId="9" fontId="0" fillId="0" borderId="20" xfId="2" applyFont="1" applyBorder="1" applyAlignment="1">
      <alignment horizontal="center" vertical="center"/>
    </xf>
    <xf numFmtId="165" fontId="0" fillId="0" borderId="21" xfId="2" applyNumberFormat="1" applyFont="1" applyBorder="1" applyAlignment="1">
      <alignment horizontal="center" vertical="center"/>
    </xf>
    <xf numFmtId="165" fontId="0" fillId="0" borderId="4" xfId="2" applyNumberFormat="1"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0" xfId="0" applyBorder="1" applyAlignment="1">
      <alignment horizontal="center" vertical="center" wrapText="1"/>
    </xf>
    <xf numFmtId="9" fontId="0" fillId="0" borderId="10" xfId="2" applyFont="1" applyBorder="1" applyAlignment="1">
      <alignment horizontal="center" vertical="center"/>
    </xf>
    <xf numFmtId="165" fontId="0" fillId="0" borderId="11" xfId="2" applyNumberFormat="1" applyFont="1" applyBorder="1" applyAlignment="1">
      <alignment horizontal="center" vertical="center"/>
    </xf>
    <xf numFmtId="9" fontId="0" fillId="0" borderId="12" xfId="2" applyFont="1" applyBorder="1" applyAlignment="1">
      <alignment horizontal="center" vertical="center"/>
    </xf>
    <xf numFmtId="165" fontId="0" fillId="0" borderId="9" xfId="2" applyNumberFormat="1" applyFont="1" applyBorder="1" applyAlignment="1">
      <alignment horizontal="center" vertical="center"/>
    </xf>
    <xf numFmtId="0" fontId="0" fillId="0" borderId="10" xfId="0" applyBorder="1" applyAlignment="1">
      <alignment horizontal="center" vertical="center" wrapText="1"/>
    </xf>
    <xf numFmtId="0" fontId="0" fillId="9" borderId="22" xfId="0" applyFill="1" applyBorder="1" applyAlignment="1">
      <alignment horizontal="center" vertical="center" wrapText="1"/>
    </xf>
    <xf numFmtId="0" fontId="0" fillId="9" borderId="13" xfId="0" applyFill="1" applyBorder="1" applyAlignment="1">
      <alignment horizontal="center" vertical="center" wrapText="1"/>
    </xf>
    <xf numFmtId="0" fontId="0" fillId="10" borderId="16" xfId="0" applyFill="1" applyBorder="1" applyAlignment="1">
      <alignment horizontal="center" vertical="center" wrapText="1"/>
    </xf>
    <xf numFmtId="0" fontId="0" fillId="9" borderId="17" xfId="0" applyFill="1" applyBorder="1" applyAlignment="1">
      <alignment horizontal="center" vertical="center" wrapText="1"/>
    </xf>
    <xf numFmtId="0" fontId="0" fillId="10" borderId="15" xfId="0" applyFill="1" applyBorder="1" applyAlignment="1">
      <alignment horizontal="center" vertical="center" wrapText="1"/>
    </xf>
    <xf numFmtId="0" fontId="0" fillId="9" borderId="14" xfId="0" applyFill="1" applyBorder="1" applyAlignment="1">
      <alignment horizontal="center" vertical="center" wrapText="1"/>
    </xf>
    <xf numFmtId="0" fontId="11" fillId="6" borderId="23" xfId="0" applyFont="1" applyFill="1" applyBorder="1" applyAlignment="1">
      <alignment horizontal="center" vertical="center" wrapText="1"/>
    </xf>
    <xf numFmtId="0" fontId="0" fillId="0" borderId="24" xfId="0" applyBorder="1" applyAlignment="1">
      <alignment horizontal="center" vertical="center"/>
    </xf>
    <xf numFmtId="1" fontId="12" fillId="0" borderId="25" xfId="2" applyNumberFormat="1" applyFont="1" applyBorder="1" applyAlignment="1">
      <alignment horizontal="center" vertical="center"/>
    </xf>
    <xf numFmtId="0" fontId="0" fillId="0" borderId="26" xfId="0" applyBorder="1" applyAlignment="1">
      <alignment horizontal="center" vertical="center"/>
    </xf>
    <xf numFmtId="1" fontId="12" fillId="0" borderId="27" xfId="2" applyNumberFormat="1" applyFont="1" applyBorder="1" applyAlignment="1">
      <alignment horizontal="center" vertical="center"/>
    </xf>
    <xf numFmtId="0" fontId="0" fillId="0" borderId="28" xfId="0" applyBorder="1" applyAlignment="1">
      <alignment horizontal="center" vertical="center"/>
    </xf>
    <xf numFmtId="9" fontId="0" fillId="0" borderId="29" xfId="2" applyFont="1" applyBorder="1" applyAlignment="1">
      <alignment horizontal="center" vertical="center"/>
    </xf>
    <xf numFmtId="165" fontId="0" fillId="0" borderId="30" xfId="2" applyNumberFormat="1" applyFont="1" applyBorder="1" applyAlignment="1">
      <alignment horizontal="center" vertical="center"/>
    </xf>
    <xf numFmtId="0" fontId="0" fillId="0" borderId="29" xfId="0" applyBorder="1" applyAlignment="1">
      <alignment horizontal="center" vertical="center" wrapText="1"/>
    </xf>
    <xf numFmtId="0" fontId="0" fillId="0" borderId="0" xfId="0" applyFill="1"/>
    <xf numFmtId="0" fontId="1" fillId="2" borderId="13" xfId="0" applyFont="1" applyFill="1" applyBorder="1" applyAlignment="1">
      <alignment vertical="top" wrapText="1"/>
    </xf>
    <xf numFmtId="0" fontId="1" fillId="10" borderId="16" xfId="0" applyFont="1" applyFill="1" applyBorder="1" applyAlignment="1">
      <alignment vertical="top" wrapText="1"/>
    </xf>
    <xf numFmtId="0" fontId="1" fillId="2" borderId="17" xfId="0" applyFont="1" applyFill="1" applyBorder="1" applyAlignment="1">
      <alignment vertical="top" wrapText="1"/>
    </xf>
    <xf numFmtId="0" fontId="1" fillId="10" borderId="15" xfId="0" applyFont="1" applyFill="1" applyBorder="1" applyAlignment="1">
      <alignment vertical="top" wrapText="1"/>
    </xf>
    <xf numFmtId="0" fontId="13" fillId="6" borderId="23" xfId="0" applyFont="1" applyFill="1" applyBorder="1" applyAlignment="1">
      <alignment horizontal="center" vertical="center" wrapText="1"/>
    </xf>
    <xf numFmtId="165" fontId="14" fillId="0" borderId="38" xfId="0" applyNumberFormat="1" applyFont="1" applyFill="1" applyBorder="1" applyAlignment="1">
      <alignment horizontal="center" vertical="top" wrapText="1"/>
    </xf>
    <xf numFmtId="165" fontId="14" fillId="0" borderId="27" xfId="0" applyNumberFormat="1" applyFont="1" applyFill="1" applyBorder="1" applyAlignment="1">
      <alignment horizontal="center" vertical="top" wrapText="1"/>
    </xf>
    <xf numFmtId="165" fontId="14" fillId="0" borderId="32" xfId="0" applyNumberFormat="1" applyFont="1" applyFill="1" applyBorder="1" applyAlignment="1">
      <alignment horizontal="center" vertical="top" wrapText="1"/>
    </xf>
    <xf numFmtId="0" fontId="1" fillId="10" borderId="14" xfId="0" applyFont="1" applyFill="1" applyBorder="1" applyAlignment="1">
      <alignment vertical="top" wrapText="1"/>
    </xf>
    <xf numFmtId="0" fontId="3" fillId="0" borderId="40" xfId="0" applyFont="1" applyFill="1" applyBorder="1" applyAlignment="1">
      <alignment vertical="top" wrapText="1"/>
    </xf>
    <xf numFmtId="0" fontId="15" fillId="6" borderId="16" xfId="0" applyFont="1" applyFill="1" applyBorder="1" applyAlignment="1">
      <alignment vertical="top" wrapText="1"/>
    </xf>
    <xf numFmtId="1" fontId="0" fillId="0" borderId="11" xfId="2" applyNumberFormat="1" applyFont="1" applyBorder="1" applyAlignment="1">
      <alignment horizontal="center" vertical="center"/>
    </xf>
    <xf numFmtId="1" fontId="0" fillId="0" borderId="34" xfId="2" applyNumberFormat="1" applyFont="1" applyBorder="1" applyAlignment="1">
      <alignment horizontal="center" vertical="center"/>
    </xf>
    <xf numFmtId="1" fontId="0" fillId="0" borderId="42" xfId="2" applyNumberFormat="1" applyFont="1" applyBorder="1" applyAlignment="1">
      <alignment horizontal="center" vertical="center"/>
    </xf>
    <xf numFmtId="9" fontId="0" fillId="0" borderId="33" xfId="2" applyFont="1" applyBorder="1" applyAlignment="1">
      <alignment horizontal="center" vertical="center" wrapText="1"/>
    </xf>
    <xf numFmtId="9" fontId="0" fillId="0" borderId="10" xfId="2" applyFont="1" applyBorder="1" applyAlignment="1">
      <alignment horizontal="center" vertical="center" wrapText="1"/>
    </xf>
    <xf numFmtId="9" fontId="0" fillId="0" borderId="41" xfId="2" applyFont="1" applyBorder="1" applyAlignment="1">
      <alignment horizontal="center" vertical="center" wrapText="1"/>
    </xf>
    <xf numFmtId="0" fontId="0" fillId="9" borderId="39" xfId="0" applyFill="1" applyBorder="1" applyAlignment="1">
      <alignment horizontal="center" vertical="center" wrapText="1"/>
    </xf>
    <xf numFmtId="1" fontId="0" fillId="0" borderId="12" xfId="2" applyNumberFormat="1" applyFont="1" applyBorder="1" applyAlignment="1">
      <alignment horizontal="center" vertical="center"/>
    </xf>
    <xf numFmtId="1" fontId="0" fillId="0" borderId="33" xfId="2" applyNumberFormat="1" applyFont="1" applyBorder="1" applyAlignment="1">
      <alignment horizontal="center" vertical="center"/>
    </xf>
    <xf numFmtId="1" fontId="0" fillId="0" borderId="37" xfId="2" applyNumberFormat="1" applyFont="1" applyBorder="1" applyAlignment="1">
      <alignment horizontal="center" vertical="center"/>
    </xf>
    <xf numFmtId="1" fontId="0" fillId="0" borderId="10" xfId="2" applyNumberFormat="1" applyFont="1" applyBorder="1" applyAlignment="1">
      <alignment horizontal="center" vertical="center"/>
    </xf>
    <xf numFmtId="1" fontId="0" fillId="0" borderId="41" xfId="2" applyNumberFormat="1" applyFont="1" applyBorder="1" applyAlignment="1">
      <alignment horizontal="center" vertical="center"/>
    </xf>
    <xf numFmtId="1" fontId="0" fillId="0" borderId="43" xfId="2" applyNumberFormat="1" applyFont="1" applyBorder="1" applyAlignment="1">
      <alignment horizontal="center" vertical="center"/>
    </xf>
    <xf numFmtId="1" fontId="0" fillId="0" borderId="36" xfId="2" applyNumberFormat="1" applyFont="1" applyBorder="1" applyAlignment="1">
      <alignment horizontal="center" vertical="center"/>
    </xf>
    <xf numFmtId="1" fontId="0" fillId="0" borderId="9" xfId="2" applyNumberFormat="1" applyFont="1" applyBorder="1" applyAlignment="1">
      <alignment horizontal="center" vertical="center"/>
    </xf>
    <xf numFmtId="1" fontId="0" fillId="0" borderId="44" xfId="2" applyNumberFormat="1" applyFont="1" applyBorder="1" applyAlignment="1">
      <alignment horizontal="center" vertical="center"/>
    </xf>
    <xf numFmtId="1" fontId="0" fillId="0" borderId="1" xfId="2" applyNumberFormat="1" applyFont="1" applyBorder="1" applyAlignment="1">
      <alignment horizontal="center" vertical="center"/>
    </xf>
    <xf numFmtId="9" fontId="0" fillId="0" borderId="6" xfId="2" applyFont="1" applyBorder="1" applyAlignment="1">
      <alignment horizontal="center" vertical="center" wrapText="1"/>
    </xf>
    <xf numFmtId="9" fontId="0" fillId="0" borderId="20" xfId="2" applyFont="1" applyBorder="1" applyAlignment="1">
      <alignment horizontal="center" vertical="center" wrapText="1"/>
    </xf>
    <xf numFmtId="1" fontId="0" fillId="0" borderId="31" xfId="2" applyNumberFormat="1" applyFont="1" applyBorder="1" applyAlignment="1">
      <alignment horizontal="center" vertical="center"/>
    </xf>
    <xf numFmtId="1" fontId="12" fillId="0" borderId="45" xfId="2" applyNumberFormat="1" applyFont="1" applyBorder="1" applyAlignment="1">
      <alignment horizontal="center" vertical="center"/>
    </xf>
    <xf numFmtId="1" fontId="12" fillId="0" borderId="18" xfId="2" applyNumberFormat="1" applyFont="1" applyBorder="1" applyAlignment="1">
      <alignment horizontal="center" vertical="center"/>
    </xf>
    <xf numFmtId="1" fontId="12" fillId="0" borderId="46" xfId="2" applyNumberFormat="1" applyFont="1" applyBorder="1" applyAlignment="1">
      <alignment horizontal="center" vertical="center"/>
    </xf>
    <xf numFmtId="0" fontId="0" fillId="0" borderId="0" xfId="0" applyAlignment="1">
      <alignment vertical="top"/>
    </xf>
    <xf numFmtId="0" fontId="8" fillId="0" borderId="0" xfId="0" applyFont="1" applyAlignment="1">
      <alignment vertical="top"/>
    </xf>
    <xf numFmtId="0" fontId="0" fillId="0" borderId="10" xfId="2" applyNumberFormat="1" applyFont="1" applyBorder="1" applyAlignment="1">
      <alignment horizontal="center" vertical="center" wrapText="1"/>
    </xf>
    <xf numFmtId="165" fontId="12" fillId="0" borderId="45" xfId="2" applyNumberFormat="1" applyFont="1" applyBorder="1" applyAlignment="1">
      <alignment horizontal="center" vertical="center"/>
    </xf>
    <xf numFmtId="1" fontId="0" fillId="0" borderId="18" xfId="2" applyNumberFormat="1" applyFont="1" applyBorder="1" applyAlignment="1">
      <alignment horizontal="center" vertical="center"/>
    </xf>
    <xf numFmtId="1" fontId="0" fillId="0" borderId="46" xfId="2" applyNumberFormat="1" applyFont="1" applyBorder="1" applyAlignment="1">
      <alignment horizontal="center" vertical="center"/>
    </xf>
    <xf numFmtId="0" fontId="3" fillId="0" borderId="47" xfId="0" applyFont="1" applyFill="1" applyBorder="1" applyAlignment="1">
      <alignment vertical="top" wrapText="1"/>
    </xf>
    <xf numFmtId="0" fontId="3" fillId="0" borderId="20" xfId="0" applyFont="1" applyFill="1" applyBorder="1" applyAlignment="1">
      <alignment vertical="top" wrapText="1"/>
    </xf>
    <xf numFmtId="165" fontId="14" fillId="0" borderId="25" xfId="0" applyNumberFormat="1" applyFont="1" applyFill="1" applyBorder="1" applyAlignment="1">
      <alignment horizontal="center" vertical="top" wrapText="1"/>
    </xf>
    <xf numFmtId="0" fontId="3" fillId="0" borderId="33" xfId="0" applyFont="1" applyFill="1" applyBorder="1" applyAlignment="1">
      <alignment vertical="top" wrapText="1"/>
    </xf>
    <xf numFmtId="0" fontId="3" fillId="0" borderId="35" xfId="0" applyFont="1" applyFill="1" applyBorder="1" applyAlignment="1">
      <alignment vertical="top" wrapText="1"/>
    </xf>
    <xf numFmtId="0" fontId="3" fillId="0" borderId="36" xfId="0" applyFont="1" applyFill="1" applyBorder="1" applyAlignment="1">
      <alignment vertical="top" wrapText="1"/>
    </xf>
    <xf numFmtId="0" fontId="3" fillId="0" borderId="31" xfId="0" applyFont="1" applyFill="1" applyBorder="1" applyAlignment="1">
      <alignment vertical="top" wrapText="1"/>
    </xf>
    <xf numFmtId="0" fontId="3" fillId="0" borderId="30" xfId="0" applyFont="1" applyFill="1" applyBorder="1" applyAlignment="1">
      <alignment vertical="top" wrapText="1"/>
    </xf>
    <xf numFmtId="0" fontId="5" fillId="0" borderId="6" xfId="0" applyFont="1" applyFill="1" applyBorder="1" applyAlignment="1">
      <alignment vertical="top" wrapText="1"/>
    </xf>
    <xf numFmtId="0" fontId="3" fillId="0" borderId="21" xfId="0" applyFont="1" applyFill="1" applyBorder="1" applyAlignment="1">
      <alignment vertical="top" wrapText="1"/>
    </xf>
    <xf numFmtId="0" fontId="5" fillId="0" borderId="7" xfId="0" applyFont="1" applyFill="1" applyBorder="1" applyAlignment="1">
      <alignment vertical="top" wrapText="1"/>
    </xf>
    <xf numFmtId="0" fontId="3" fillId="0" borderId="26" xfId="0" applyFont="1" applyFill="1" applyBorder="1" applyAlignment="1">
      <alignment vertical="top" wrapText="1"/>
    </xf>
    <xf numFmtId="0" fontId="3" fillId="0" borderId="29" xfId="0" applyFont="1" applyFill="1" applyBorder="1" applyAlignment="1">
      <alignment vertical="top" wrapText="1"/>
    </xf>
    <xf numFmtId="0" fontId="3" fillId="0" borderId="24" xfId="0" applyFont="1" applyFill="1" applyBorder="1" applyAlignment="1">
      <alignment vertical="top" wrapText="1"/>
    </xf>
    <xf numFmtId="0" fontId="1" fillId="2" borderId="22" xfId="0" applyFont="1" applyFill="1" applyBorder="1" applyAlignment="1">
      <alignment vertical="top" wrapText="1"/>
    </xf>
    <xf numFmtId="0" fontId="1" fillId="10" borderId="17" xfId="0" applyFont="1" applyFill="1" applyBorder="1" applyAlignment="1">
      <alignment vertical="top" wrapText="1"/>
    </xf>
    <xf numFmtId="0" fontId="3" fillId="0" borderId="42" xfId="0" applyFont="1" applyFill="1" applyBorder="1" applyAlignment="1">
      <alignment vertical="top" wrapText="1"/>
    </xf>
    <xf numFmtId="2" fontId="3" fillId="0" borderId="31" xfId="0" applyNumberFormat="1" applyFont="1" applyFill="1" applyBorder="1" applyAlignment="1">
      <alignment vertical="top" wrapText="1"/>
    </xf>
    <xf numFmtId="0" fontId="0" fillId="0" borderId="0" xfId="0" applyFill="1" applyBorder="1"/>
    <xf numFmtId="165" fontId="0" fillId="0" borderId="34" xfId="2" applyNumberFormat="1" applyFont="1" applyBorder="1" applyAlignment="1">
      <alignment horizontal="center" vertical="center"/>
    </xf>
    <xf numFmtId="0" fontId="11" fillId="6" borderId="49"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0" fillId="12" borderId="6" xfId="0" applyFill="1" applyBorder="1" applyAlignment="1">
      <alignment horizontal="center" vertical="center" wrapText="1"/>
    </xf>
    <xf numFmtId="165" fontId="0" fillId="12" borderId="7" xfId="2" applyNumberFormat="1" applyFont="1" applyFill="1" applyBorder="1" applyAlignment="1">
      <alignment horizontal="center" vertical="center"/>
    </xf>
    <xf numFmtId="0" fontId="0" fillId="12" borderId="1" xfId="0" applyFill="1" applyBorder="1" applyAlignment="1">
      <alignment horizontal="center" vertical="center" wrapText="1"/>
    </xf>
    <xf numFmtId="9" fontId="3" fillId="0" borderId="50" xfId="2" applyFont="1" applyFill="1" applyBorder="1" applyAlignment="1">
      <alignment vertical="top" wrapText="1"/>
    </xf>
    <xf numFmtId="1" fontId="0" fillId="0" borderId="0" xfId="0" applyNumberFormat="1"/>
    <xf numFmtId="0" fontId="8" fillId="13" borderId="1" xfId="0" applyFont="1" applyFill="1" applyBorder="1" applyAlignment="1">
      <alignment horizontal="center" vertical="center"/>
    </xf>
    <xf numFmtId="0" fontId="17" fillId="0" borderId="0" xfId="0" applyFont="1" applyAlignment="1">
      <alignment textRotation="90"/>
    </xf>
    <xf numFmtId="0" fontId="19" fillId="0" borderId="0" xfId="0" applyFont="1" applyAlignment="1">
      <alignment vertical="top" textRotation="90"/>
    </xf>
    <xf numFmtId="0" fontId="0" fillId="0" borderId="1" xfId="0" applyBorder="1" applyAlignment="1">
      <alignment vertical="center"/>
    </xf>
    <xf numFmtId="0" fontId="0" fillId="0" borderId="0" xfId="0" applyAlignment="1">
      <alignment vertical="center"/>
    </xf>
    <xf numFmtId="0" fontId="8" fillId="7" borderId="1" xfId="0" applyFont="1" applyFill="1" applyBorder="1" applyAlignment="1">
      <alignment horizontal="right" vertical="center"/>
    </xf>
    <xf numFmtId="0" fontId="0" fillId="0" borderId="1" xfId="0" applyBorder="1" applyAlignment="1">
      <alignment horizontal="center" vertical="center"/>
    </xf>
    <xf numFmtId="0" fontId="0" fillId="0" borderId="1" xfId="0" applyBorder="1" applyAlignment="1">
      <alignment vertical="top" wrapText="1"/>
    </xf>
    <xf numFmtId="0" fontId="8" fillId="13" borderId="1" xfId="0" applyFont="1" applyFill="1" applyBorder="1" applyAlignment="1">
      <alignment horizontal="center" vertical="top" wrapText="1"/>
    </xf>
    <xf numFmtId="1" fontId="8" fillId="7" borderId="1" xfId="0" applyNumberFormat="1" applyFont="1" applyFill="1" applyBorder="1" applyAlignment="1">
      <alignment horizontal="center" vertical="center"/>
    </xf>
    <xf numFmtId="1" fontId="17" fillId="2" borderId="1" xfId="0" applyNumberFormat="1" applyFont="1" applyFill="1" applyBorder="1" applyAlignment="1">
      <alignment horizontal="center" vertical="center"/>
    </xf>
    <xf numFmtId="0" fontId="8" fillId="7" borderId="1" xfId="0" applyFont="1" applyFill="1" applyBorder="1" applyAlignment="1">
      <alignment horizontal="center" vertical="center"/>
    </xf>
    <xf numFmtId="0" fontId="17" fillId="2" borderId="1" xfId="0" applyFont="1" applyFill="1" applyBorder="1" applyAlignment="1">
      <alignment horizontal="center" vertical="center"/>
    </xf>
    <xf numFmtId="1" fontId="18" fillId="3" borderId="1" xfId="0" applyNumberFormat="1" applyFont="1" applyFill="1" applyBorder="1" applyAlignment="1">
      <alignment horizontal="center" vertical="center"/>
    </xf>
    <xf numFmtId="0" fontId="0" fillId="0" borderId="0" xfId="0" applyAlignment="1">
      <alignment horizontal="center" vertical="center"/>
    </xf>
    <xf numFmtId="0" fontId="3" fillId="0" borderId="19" xfId="0" applyFont="1" applyFill="1" applyBorder="1" applyAlignment="1">
      <alignment vertical="top"/>
    </xf>
    <xf numFmtId="0" fontId="3" fillId="0" borderId="26" xfId="0" applyFont="1" applyFill="1" applyBorder="1" applyAlignment="1">
      <alignment vertical="top"/>
    </xf>
    <xf numFmtId="0" fontId="3" fillId="0" borderId="28" xfId="0" applyFont="1" applyFill="1" applyBorder="1" applyAlignment="1">
      <alignment vertical="top" wrapText="1"/>
    </xf>
    <xf numFmtId="2" fontId="3" fillId="0" borderId="52" xfId="0" applyNumberFormat="1" applyFont="1" applyFill="1" applyBorder="1" applyAlignment="1">
      <alignment vertical="top" wrapText="1"/>
    </xf>
    <xf numFmtId="9" fontId="3" fillId="0" borderId="52" xfId="2" applyFont="1" applyFill="1" applyBorder="1" applyAlignment="1">
      <alignment vertical="top" wrapText="1"/>
    </xf>
    <xf numFmtId="0" fontId="3" fillId="0" borderId="53" xfId="0" applyFont="1" applyFill="1" applyBorder="1" applyAlignment="1">
      <alignment vertical="top" wrapText="1"/>
    </xf>
    <xf numFmtId="2" fontId="3" fillId="0" borderId="50" xfId="0" applyNumberFormat="1" applyFont="1" applyFill="1" applyBorder="1" applyAlignment="1">
      <alignment vertical="top" wrapText="1"/>
    </xf>
    <xf numFmtId="0" fontId="1" fillId="0" borderId="0" xfId="0" applyFont="1" applyBorder="1" applyAlignment="1">
      <alignment vertical="center"/>
    </xf>
    <xf numFmtId="0" fontId="3" fillId="7" borderId="3" xfId="0" applyFont="1" applyFill="1" applyBorder="1" applyAlignment="1">
      <alignment vertical="top" wrapText="1"/>
    </xf>
    <xf numFmtId="165" fontId="1" fillId="7" borderId="22" xfId="0" applyNumberFormat="1" applyFont="1" applyFill="1" applyBorder="1" applyAlignment="1">
      <alignment vertical="center"/>
    </xf>
    <xf numFmtId="165" fontId="1" fillId="7" borderId="39" xfId="0" applyNumberFormat="1" applyFont="1" applyFill="1" applyBorder="1" applyAlignment="1">
      <alignment vertical="center"/>
    </xf>
    <xf numFmtId="0" fontId="3" fillId="7" borderId="54" xfId="0" applyFont="1" applyFill="1" applyBorder="1" applyAlignment="1">
      <alignment vertical="top" wrapText="1"/>
    </xf>
    <xf numFmtId="1" fontId="0" fillId="7" borderId="49" xfId="0" applyNumberFormat="1" applyFill="1" applyBorder="1"/>
    <xf numFmtId="0" fontId="3" fillId="7" borderId="55" xfId="0" applyFont="1" applyFill="1" applyBorder="1" applyAlignment="1">
      <alignment vertical="top" wrapText="1"/>
    </xf>
    <xf numFmtId="1" fontId="0" fillId="7" borderId="56" xfId="0" applyNumberFormat="1" applyFill="1" applyBorder="1"/>
    <xf numFmtId="0" fontId="3" fillId="7" borderId="51" xfId="0" applyFont="1" applyFill="1" applyBorder="1" applyAlignment="1">
      <alignment vertical="top" wrapText="1"/>
    </xf>
    <xf numFmtId="2" fontId="1" fillId="7" borderId="51" xfId="0" applyNumberFormat="1" applyFont="1" applyFill="1" applyBorder="1" applyAlignment="1">
      <alignment vertical="center"/>
    </xf>
    <xf numFmtId="2" fontId="1" fillId="7" borderId="57" xfId="0" applyNumberFormat="1" applyFont="1" applyFill="1" applyBorder="1" applyAlignment="1">
      <alignment vertical="center"/>
    </xf>
    <xf numFmtId="9" fontId="3" fillId="0" borderId="1" xfId="2" applyFont="1" applyFill="1" applyBorder="1" applyAlignment="1">
      <alignment vertical="top" wrapText="1"/>
    </xf>
    <xf numFmtId="9" fontId="3" fillId="0" borderId="31" xfId="2" applyFont="1" applyFill="1" applyBorder="1" applyAlignment="1">
      <alignment vertical="top" wrapText="1"/>
    </xf>
    <xf numFmtId="0" fontId="3" fillId="0" borderId="44" xfId="0" applyFont="1" applyFill="1" applyBorder="1" applyAlignment="1">
      <alignment vertical="top" wrapText="1"/>
    </xf>
    <xf numFmtId="0" fontId="0" fillId="11" borderId="3" xfId="0" applyFill="1" applyBorder="1" applyAlignment="1">
      <alignment horizontal="center" vertical="center" wrapText="1"/>
    </xf>
    <xf numFmtId="0" fontId="0" fillId="0" borderId="1" xfId="0" applyBorder="1" applyAlignment="1">
      <alignment horizontal="center" vertical="center"/>
    </xf>
    <xf numFmtId="0" fontId="17" fillId="2" borderId="1" xfId="0" applyFont="1" applyFill="1" applyBorder="1" applyAlignment="1">
      <alignment horizontal="center" vertical="center"/>
    </xf>
    <xf numFmtId="165" fontId="12" fillId="6" borderId="45" xfId="2" applyNumberFormat="1" applyFont="1" applyFill="1" applyBorder="1" applyAlignment="1">
      <alignment horizontal="center" vertical="center"/>
    </xf>
    <xf numFmtId="165" fontId="0" fillId="0" borderId="1" xfId="0" applyNumberFormat="1" applyBorder="1" applyAlignment="1">
      <alignment horizontal="center" vertical="center"/>
    </xf>
    <xf numFmtId="165" fontId="12" fillId="0" borderId="19" xfId="2" applyNumberFormat="1" applyFont="1" applyBorder="1" applyAlignment="1">
      <alignment horizontal="center" vertical="center"/>
    </xf>
    <xf numFmtId="165" fontId="12" fillId="0" borderId="47" xfId="2" applyNumberFormat="1" applyFont="1" applyBorder="1" applyAlignment="1">
      <alignment horizontal="center" vertical="center"/>
    </xf>
    <xf numFmtId="2" fontId="0" fillId="0" borderId="36" xfId="2" applyNumberFormat="1" applyFont="1" applyBorder="1" applyAlignment="1">
      <alignment horizontal="center" vertical="center"/>
    </xf>
    <xf numFmtId="2" fontId="0" fillId="0" borderId="9" xfId="2" applyNumberFormat="1" applyFont="1" applyBorder="1" applyAlignment="1">
      <alignment horizontal="center" vertical="center"/>
    </xf>
    <xf numFmtId="2" fontId="0" fillId="0" borderId="44" xfId="2" applyNumberFormat="1" applyFont="1" applyBorder="1" applyAlignment="1">
      <alignment horizontal="center" vertical="center"/>
    </xf>
    <xf numFmtId="1" fontId="0" fillId="0" borderId="6" xfId="2" applyNumberFormat="1" applyFont="1" applyBorder="1" applyAlignment="1">
      <alignment horizontal="center" vertical="center"/>
    </xf>
    <xf numFmtId="1" fontId="0" fillId="0" borderId="7" xfId="2" applyNumberFormat="1" applyFont="1" applyBorder="1" applyAlignment="1">
      <alignment horizontal="center" vertical="center"/>
    </xf>
    <xf numFmtId="1" fontId="0" fillId="0" borderId="20" xfId="2" applyNumberFormat="1" applyFont="1" applyBorder="1" applyAlignment="1">
      <alignment horizontal="center" vertical="center"/>
    </xf>
    <xf numFmtId="1" fontId="0" fillId="0" borderId="21" xfId="2" applyNumberFormat="1" applyFont="1" applyBorder="1" applyAlignment="1">
      <alignment horizontal="center" vertical="center"/>
    </xf>
    <xf numFmtId="1" fontId="0" fillId="0" borderId="8" xfId="2" applyNumberFormat="1" applyFont="1" applyBorder="1" applyAlignment="1">
      <alignment horizontal="center" vertical="center"/>
    </xf>
    <xf numFmtId="165" fontId="0" fillId="0" borderId="1" xfId="0" applyNumberFormat="1" applyBorder="1" applyAlignment="1">
      <alignment horizontal="center"/>
    </xf>
    <xf numFmtId="165" fontId="0" fillId="2" borderId="1" xfId="0" applyNumberFormat="1" applyFill="1" applyBorder="1" applyAlignment="1">
      <alignment horizontal="center"/>
    </xf>
    <xf numFmtId="165" fontId="0" fillId="7" borderId="1" xfId="0" applyNumberFormat="1" applyFill="1" applyBorder="1" applyAlignment="1">
      <alignment horizontal="center"/>
    </xf>
    <xf numFmtId="0" fontId="8" fillId="13" borderId="4"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0" fillId="0" borderId="0" xfId="0" applyAlignment="1">
      <alignment vertical="center" wrapText="1"/>
    </xf>
    <xf numFmtId="165" fontId="18" fillId="3" borderId="1" xfId="0" applyNumberFormat="1" applyFont="1" applyFill="1" applyBorder="1" applyAlignment="1">
      <alignment horizontal="center" vertical="center"/>
    </xf>
    <xf numFmtId="9" fontId="0" fillId="6" borderId="48" xfId="2" applyNumberFormat="1" applyFont="1" applyFill="1" applyBorder="1"/>
    <xf numFmtId="9" fontId="3" fillId="6" borderId="16" xfId="2" applyNumberFormat="1" applyFont="1" applyFill="1" applyBorder="1" applyAlignment="1">
      <alignment vertical="center" wrapText="1"/>
    </xf>
    <xf numFmtId="9" fontId="3" fillId="6" borderId="16" xfId="2" applyFont="1" applyFill="1" applyBorder="1" applyAlignment="1">
      <alignment vertical="center" wrapText="1"/>
    </xf>
    <xf numFmtId="9" fontId="3" fillId="6" borderId="42" xfId="2" applyFont="1" applyFill="1" applyBorder="1" applyAlignment="1">
      <alignment vertical="center" wrapText="1"/>
    </xf>
    <xf numFmtId="165" fontId="12" fillId="6" borderId="18" xfId="2" applyNumberFormat="1" applyFont="1" applyFill="1" applyBorder="1" applyAlignment="1">
      <alignment horizontal="center" vertical="center"/>
    </xf>
    <xf numFmtId="0" fontId="3" fillId="0" borderId="6" xfId="0" applyFont="1" applyFill="1" applyBorder="1" applyAlignment="1">
      <alignment horizontal="left" vertical="top" wrapText="1"/>
    </xf>
    <xf numFmtId="0" fontId="4" fillId="0" borderId="9" xfId="1" applyFill="1" applyBorder="1" applyAlignment="1">
      <alignment vertical="top" wrapText="1"/>
    </xf>
    <xf numFmtId="0" fontId="0" fillId="0" borderId="2" xfId="0" applyBorder="1" applyAlignment="1">
      <alignment horizontal="center" vertical="center" wrapText="1"/>
    </xf>
    <xf numFmtId="0" fontId="0" fillId="0" borderId="40" xfId="0" applyBorder="1" applyAlignment="1">
      <alignment horizontal="center" vertical="center" wrapText="1"/>
    </xf>
    <xf numFmtId="0" fontId="0" fillId="12" borderId="40" xfId="0" applyFill="1" applyBorder="1" applyAlignment="1">
      <alignment horizontal="center" vertical="center" wrapText="1"/>
    </xf>
    <xf numFmtId="0" fontId="0" fillId="0" borderId="58" xfId="0" applyBorder="1" applyAlignment="1">
      <alignment horizontal="center" vertical="center" wrapText="1"/>
    </xf>
    <xf numFmtId="0" fontId="0" fillId="0" borderId="27" xfId="0" applyBorder="1" applyAlignment="1">
      <alignment horizontal="center" vertical="center" wrapText="1"/>
    </xf>
    <xf numFmtId="0" fontId="0" fillId="12" borderId="27" xfId="0" applyFill="1" applyBorder="1" applyAlignment="1">
      <alignment horizontal="center" vertical="center" wrapText="1"/>
    </xf>
    <xf numFmtId="0" fontId="0" fillId="0" borderId="32" xfId="0" applyBorder="1" applyAlignment="1">
      <alignment horizontal="center" vertical="center" wrapText="1"/>
    </xf>
    <xf numFmtId="0" fontId="0" fillId="0" borderId="38" xfId="0" applyBorder="1" applyAlignment="1">
      <alignment horizontal="center" vertical="center" wrapText="1"/>
    </xf>
    <xf numFmtId="0" fontId="3" fillId="0" borderId="6" xfId="0" applyFont="1" applyFill="1" applyBorder="1" applyAlignment="1">
      <alignment vertical="top"/>
    </xf>
    <xf numFmtId="1" fontId="0" fillId="8" borderId="18" xfId="2" applyNumberFormat="1" applyFont="1" applyFill="1" applyBorder="1" applyAlignment="1">
      <alignment horizontal="center" vertical="center"/>
    </xf>
    <xf numFmtId="0" fontId="3" fillId="0" borderId="34" xfId="0" applyFont="1" applyFill="1" applyBorder="1" applyAlignment="1">
      <alignment vertical="top" wrapText="1"/>
    </xf>
    <xf numFmtId="0" fontId="0" fillId="0" borderId="1" xfId="0" applyBorder="1" applyAlignment="1">
      <alignment horizontal="center" vertical="center"/>
    </xf>
    <xf numFmtId="0" fontId="8" fillId="13" borderId="1" xfId="0" applyFont="1" applyFill="1" applyBorder="1" applyAlignment="1">
      <alignment horizontal="center" vertical="center"/>
    </xf>
    <xf numFmtId="0" fontId="3" fillId="0" borderId="33"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165" fontId="14" fillId="0" borderId="38" xfId="0" applyNumberFormat="1" applyFont="1" applyBorder="1" applyAlignment="1">
      <alignment horizontal="center" vertical="top" wrapText="1"/>
    </xf>
    <xf numFmtId="0" fontId="3" fillId="0" borderId="6" xfId="0" applyFont="1" applyBorder="1" applyAlignment="1">
      <alignment vertical="top" wrapText="1"/>
    </xf>
    <xf numFmtId="0" fontId="20" fillId="0" borderId="1" xfId="0" applyFont="1" applyBorder="1" applyAlignment="1">
      <alignment vertical="top" wrapText="1"/>
    </xf>
    <xf numFmtId="0" fontId="3" fillId="0" borderId="1" xfId="0" applyFont="1" applyBorder="1" applyAlignment="1">
      <alignment vertical="top" wrapText="1"/>
    </xf>
    <xf numFmtId="0" fontId="3" fillId="0" borderId="4" xfId="0" applyFont="1" applyBorder="1" applyAlignment="1">
      <alignment vertical="top" wrapText="1"/>
    </xf>
    <xf numFmtId="165" fontId="14" fillId="0" borderId="27" xfId="0" applyNumberFormat="1" applyFont="1" applyBorder="1" applyAlignment="1">
      <alignment horizontal="center" vertical="top" wrapText="1"/>
    </xf>
    <xf numFmtId="0" fontId="3" fillId="0" borderId="1" xfId="0" applyFont="1" applyBorder="1" applyAlignment="1">
      <alignment vertical="top"/>
    </xf>
    <xf numFmtId="0" fontId="3" fillId="0" borderId="20" xfId="0" applyFont="1" applyBorder="1" applyAlignment="1">
      <alignmen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165" fontId="14" fillId="0" borderId="32" xfId="0" applyNumberFormat="1" applyFont="1" applyBorder="1" applyAlignment="1">
      <alignment horizontal="center" vertical="top" wrapText="1"/>
    </xf>
    <xf numFmtId="0" fontId="3" fillId="0" borderId="10" xfId="0" applyFont="1" applyBorder="1" applyAlignment="1">
      <alignment vertical="top" wrapText="1"/>
    </xf>
    <xf numFmtId="0" fontId="3" fillId="0" borderId="8" xfId="0" applyFont="1" applyBorder="1" applyAlignment="1">
      <alignment vertical="top" wrapText="1"/>
    </xf>
    <xf numFmtId="165" fontId="0" fillId="0" borderId="0" xfId="0" applyNumberFormat="1" applyFill="1"/>
    <xf numFmtId="0" fontId="2" fillId="0" borderId="35" xfId="0" applyFont="1" applyBorder="1" applyAlignment="1">
      <alignment vertical="top" wrapText="1"/>
    </xf>
    <xf numFmtId="0" fontId="5" fillId="0" borderId="35" xfId="0" applyFont="1" applyBorder="1" applyAlignment="1">
      <alignment vertical="top" wrapText="1"/>
    </xf>
    <xf numFmtId="0" fontId="0" fillId="0" borderId="0" xfId="0" applyAlignment="1">
      <alignment wrapText="1"/>
    </xf>
    <xf numFmtId="1" fontId="0" fillId="0" borderId="33" xfId="2" applyNumberFormat="1" applyFont="1" applyBorder="1" applyAlignment="1">
      <alignment horizontal="center" vertical="center" wrapText="1"/>
    </xf>
    <xf numFmtId="1" fontId="0" fillId="0" borderId="10" xfId="2" applyNumberFormat="1" applyFont="1" applyBorder="1" applyAlignment="1">
      <alignment horizontal="center" vertical="center" wrapText="1"/>
    </xf>
    <xf numFmtId="1" fontId="0" fillId="0" borderId="41" xfId="2" applyNumberFormat="1" applyFont="1" applyBorder="1" applyAlignment="1">
      <alignment horizontal="center" vertical="center" wrapText="1"/>
    </xf>
    <xf numFmtId="0" fontId="0" fillId="0" borderId="0" xfId="0" applyFill="1" applyBorder="1" applyAlignment="1">
      <alignment wrapText="1"/>
    </xf>
    <xf numFmtId="2" fontId="14" fillId="0" borderId="27" xfId="0" applyNumberFormat="1" applyFont="1" applyBorder="1" applyAlignment="1">
      <alignment horizontal="center" vertical="top" wrapText="1"/>
    </xf>
    <xf numFmtId="2" fontId="14" fillId="0" borderId="32" xfId="0" applyNumberFormat="1" applyFont="1" applyBorder="1" applyAlignment="1">
      <alignment horizontal="center" vertical="top" wrapText="1"/>
    </xf>
    <xf numFmtId="1" fontId="0" fillId="0" borderId="6" xfId="2" applyNumberFormat="1" applyFont="1" applyBorder="1" applyAlignment="1">
      <alignment horizontal="center" vertical="center" wrapText="1"/>
    </xf>
    <xf numFmtId="1" fontId="0" fillId="0" borderId="20" xfId="2" applyNumberFormat="1" applyFont="1" applyBorder="1" applyAlignment="1">
      <alignment horizontal="center" vertical="center" wrapText="1"/>
    </xf>
    <xf numFmtId="165" fontId="12" fillId="0" borderId="18" xfId="2" applyNumberFormat="1" applyFont="1" applyBorder="1" applyAlignment="1">
      <alignment horizontal="center" vertical="center"/>
    </xf>
    <xf numFmtId="165" fontId="12" fillId="0" borderId="46" xfId="2" applyNumberFormat="1" applyFont="1" applyBorder="1" applyAlignment="1">
      <alignment horizontal="center" vertical="center"/>
    </xf>
    <xf numFmtId="165" fontId="12" fillId="8" borderId="18" xfId="2" applyNumberFormat="1" applyFont="1" applyFill="1" applyBorder="1" applyAlignment="1">
      <alignment horizontal="center" vertical="center"/>
    </xf>
    <xf numFmtId="165" fontId="12" fillId="6" borderId="46" xfId="2" applyNumberFormat="1" applyFont="1" applyFill="1" applyBorder="1" applyAlignment="1">
      <alignment horizontal="center" vertical="center"/>
    </xf>
    <xf numFmtId="0" fontId="0" fillId="0" borderId="1" xfId="0" applyFont="1" applyFill="1" applyBorder="1" applyAlignment="1">
      <alignment horizontal="left" vertical="center"/>
    </xf>
    <xf numFmtId="1" fontId="8" fillId="0" borderId="1" xfId="0" applyNumberFormat="1" applyFont="1" applyFill="1" applyBorder="1" applyAlignment="1">
      <alignment horizontal="center" vertical="center"/>
    </xf>
    <xf numFmtId="165" fontId="0" fillId="0" borderId="1" xfId="0" applyNumberFormat="1" applyFill="1" applyBorder="1" applyAlignment="1">
      <alignment horizontal="center"/>
    </xf>
    <xf numFmtId="0" fontId="0" fillId="0" borderId="1" xfId="0" applyBorder="1" applyAlignment="1">
      <alignment horizontal="center" vertical="center"/>
    </xf>
    <xf numFmtId="1" fontId="12" fillId="0" borderId="32" xfId="2" applyNumberFormat="1" applyFont="1" applyBorder="1" applyAlignment="1">
      <alignment horizontal="center" vertical="center"/>
    </xf>
    <xf numFmtId="9" fontId="3" fillId="0" borderId="10" xfId="0" applyNumberFormat="1" applyFont="1" applyFill="1" applyBorder="1" applyAlignment="1">
      <alignment vertical="top" wrapText="1"/>
    </xf>
    <xf numFmtId="9" fontId="3" fillId="0" borderId="6" xfId="0" applyNumberFormat="1" applyFont="1" applyFill="1" applyBorder="1" applyAlignment="1">
      <alignment vertical="top" wrapText="1"/>
    </xf>
    <xf numFmtId="9" fontId="3" fillId="0" borderId="6" xfId="2" applyFont="1" applyFill="1" applyBorder="1" applyAlignment="1">
      <alignment vertical="top" wrapText="1"/>
    </xf>
    <xf numFmtId="0" fontId="4" fillId="0" borderId="7" xfId="1" applyFill="1" applyBorder="1" applyAlignment="1">
      <alignment vertical="top" wrapText="1"/>
    </xf>
    <xf numFmtId="10" fontId="2" fillId="0" borderId="6" xfId="2" applyNumberFormat="1" applyFont="1" applyFill="1" applyBorder="1" applyAlignment="1">
      <alignment vertical="top" wrapText="1"/>
    </xf>
    <xf numFmtId="9" fontId="3" fillId="0" borderId="20" xfId="0" applyNumberFormat="1" applyFont="1" applyFill="1" applyBorder="1" applyAlignment="1">
      <alignment vertical="top" wrapText="1"/>
    </xf>
    <xf numFmtId="0" fontId="0" fillId="0" borderId="35" xfId="0" applyFill="1" applyBorder="1" applyAlignment="1">
      <alignment wrapText="1"/>
    </xf>
    <xf numFmtId="0" fontId="3" fillId="0" borderId="0" xfId="0" applyFont="1" applyFill="1" applyBorder="1" applyAlignment="1">
      <alignment vertical="top" wrapText="1"/>
    </xf>
    <xf numFmtId="0" fontId="2" fillId="0" borderId="1" xfId="0" applyFont="1" applyFill="1" applyBorder="1" applyAlignment="1">
      <alignment vertical="top" wrapText="1"/>
    </xf>
    <xf numFmtId="0" fontId="4" fillId="0" borderId="8" xfId="1" applyFill="1" applyBorder="1" applyAlignment="1">
      <alignment vertical="top" wrapText="1"/>
    </xf>
    <xf numFmtId="0" fontId="0" fillId="0" borderId="1" xfId="0" applyFill="1" applyBorder="1"/>
    <xf numFmtId="0" fontId="0" fillId="0" borderId="1" xfId="0" applyFill="1" applyBorder="1" applyAlignment="1">
      <alignment wrapText="1"/>
    </xf>
    <xf numFmtId="0" fontId="5" fillId="0" borderId="1" xfId="0" applyFont="1" applyFill="1" applyBorder="1" applyAlignment="1">
      <alignment vertical="top" wrapText="1"/>
    </xf>
    <xf numFmtId="0" fontId="0" fillId="0" borderId="30" xfId="0" applyFill="1" applyBorder="1" applyAlignment="1">
      <alignment wrapText="1"/>
    </xf>
    <xf numFmtId="0" fontId="3" fillId="0" borderId="57" xfId="0" applyFont="1" applyFill="1" applyBorder="1" applyAlignment="1">
      <alignment vertical="top" wrapText="1"/>
    </xf>
    <xf numFmtId="0" fontId="0" fillId="0" borderId="7" xfId="0" applyFill="1" applyBorder="1"/>
    <xf numFmtId="0" fontId="3" fillId="0" borderId="56" xfId="0" applyFont="1" applyFill="1" applyBorder="1" applyAlignment="1">
      <alignment vertical="top" wrapText="1"/>
    </xf>
    <xf numFmtId="0" fontId="0" fillId="0" borderId="21" xfId="0" applyFill="1" applyBorder="1"/>
    <xf numFmtId="1" fontId="0" fillId="0" borderId="1" xfId="0" applyNumberFormat="1" applyBorder="1" applyAlignment="1">
      <alignment horizontal="center" vertical="center"/>
    </xf>
    <xf numFmtId="1" fontId="0" fillId="0" borderId="2" xfId="2" applyNumberFormat="1" applyFont="1" applyBorder="1" applyAlignment="1">
      <alignment horizontal="center" vertical="center"/>
    </xf>
    <xf numFmtId="1" fontId="0" fillId="0" borderId="57" xfId="2" applyNumberFormat="1" applyFont="1" applyBorder="1" applyAlignment="1">
      <alignment horizontal="center" vertical="center"/>
    </xf>
    <xf numFmtId="1" fontId="3" fillId="0" borderId="11" xfId="0" applyNumberFormat="1" applyFont="1" applyFill="1" applyBorder="1" applyAlignment="1">
      <alignment vertical="top" wrapText="1"/>
    </xf>
    <xf numFmtId="1" fontId="3" fillId="0" borderId="7" xfId="0" applyNumberFormat="1" applyFont="1" applyFill="1" applyBorder="1" applyAlignment="1">
      <alignment vertical="top" wrapText="1"/>
    </xf>
    <xf numFmtId="1" fontId="2" fillId="0" borderId="7" xfId="0" applyNumberFormat="1" applyFont="1" applyFill="1" applyBorder="1" applyAlignment="1">
      <alignment vertical="top" wrapText="1"/>
    </xf>
    <xf numFmtId="1" fontId="3" fillId="0" borderId="21" xfId="0" applyNumberFormat="1" applyFont="1" applyFill="1" applyBorder="1" applyAlignment="1">
      <alignment vertical="top" wrapText="1"/>
    </xf>
    <xf numFmtId="165" fontId="0" fillId="0" borderId="42" xfId="2" applyNumberFormat="1" applyFont="1" applyBorder="1" applyAlignment="1">
      <alignment horizontal="center" vertical="center"/>
    </xf>
    <xf numFmtId="1" fontId="0" fillId="6" borderId="23" xfId="0" applyNumberFormat="1" applyFill="1" applyBorder="1"/>
    <xf numFmtId="0" fontId="0" fillId="6" borderId="22" xfId="0" applyFill="1" applyBorder="1"/>
    <xf numFmtId="0" fontId="0" fillId="10" borderId="23" xfId="0" applyFill="1" applyBorder="1" applyAlignment="1">
      <alignment horizontal="center" vertical="center" wrapText="1"/>
    </xf>
    <xf numFmtId="0" fontId="0" fillId="0" borderId="25" xfId="0" applyBorder="1" applyAlignment="1">
      <alignment horizontal="center" vertical="center" wrapText="1"/>
    </xf>
    <xf numFmtId="0" fontId="0" fillId="6" borderId="39" xfId="0" applyFill="1" applyBorder="1"/>
    <xf numFmtId="0" fontId="0" fillId="0" borderId="35" xfId="0" applyFill="1" applyBorder="1" applyAlignment="1">
      <alignment horizontal="center" vertical="center" wrapText="1"/>
    </xf>
    <xf numFmtId="0" fontId="3" fillId="4" borderId="1" xfId="0" applyFont="1" applyFill="1" applyBorder="1" applyAlignment="1">
      <alignment vertical="top" wrapText="1"/>
    </xf>
    <xf numFmtId="165" fontId="3" fillId="4" borderId="1" xfId="0" applyNumberFormat="1" applyFont="1" applyFill="1" applyBorder="1" applyAlignment="1">
      <alignment vertical="top" wrapText="1"/>
    </xf>
    <xf numFmtId="0" fontId="8" fillId="13" borderId="1"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1" xfId="0" applyFont="1" applyFill="1" applyBorder="1" applyAlignment="1">
      <alignment horizontal="center" vertical="center"/>
    </xf>
    <xf numFmtId="0" fontId="18" fillId="3" borderId="4" xfId="0" applyFont="1" applyFill="1" applyBorder="1" applyAlignment="1">
      <alignment horizontal="center"/>
    </xf>
    <xf numFmtId="0" fontId="18" fillId="3" borderId="5" xfId="0" applyFont="1" applyFill="1" applyBorder="1" applyAlignment="1">
      <alignment horizontal="center"/>
    </xf>
    <xf numFmtId="0" fontId="18" fillId="3" borderId="1" xfId="0" applyFont="1" applyFill="1" applyBorder="1" applyAlignment="1">
      <alignment horizontal="left"/>
    </xf>
    <xf numFmtId="0" fontId="0" fillId="0" borderId="1" xfId="0" applyBorder="1" applyAlignment="1">
      <alignment horizontal="center" vertical="center"/>
    </xf>
    <xf numFmtId="0" fontId="17" fillId="2" borderId="1" xfId="0" applyFont="1" applyFill="1" applyBorder="1" applyAlignment="1">
      <alignment horizontal="center" vertical="center"/>
    </xf>
    <xf numFmtId="0" fontId="17" fillId="0" borderId="1" xfId="0" applyFont="1" applyBorder="1" applyAlignment="1">
      <alignment horizontal="center" textRotation="90"/>
    </xf>
    <xf numFmtId="0" fontId="19" fillId="0" borderId="1" xfId="0" applyFont="1" applyBorder="1" applyAlignment="1">
      <alignment horizontal="center" vertical="top" textRotation="90"/>
    </xf>
    <xf numFmtId="0" fontId="8" fillId="13" borderId="1"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0" borderId="1" xfId="0" applyFont="1" applyBorder="1" applyAlignment="1">
      <alignment horizontal="center" vertical="center" textRotation="90" wrapText="1"/>
    </xf>
    <xf numFmtId="0" fontId="19" fillId="0" borderId="1" xfId="0" applyFont="1" applyBorder="1" applyAlignment="1">
      <alignment horizontal="center" vertical="center" textRotation="90"/>
    </xf>
    <xf numFmtId="0" fontId="18" fillId="3" borderId="1" xfId="0" applyFont="1" applyFill="1"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top" wrapText="1"/>
    </xf>
  </cellXfs>
  <cellStyles count="7">
    <cellStyle name="Hyperlink" xfId="1" builtinId="8"/>
    <cellStyle name="Normal" xfId="0" builtinId="0"/>
    <cellStyle name="Normal 10" xfId="5" xr:uid="{91279B94-3C2D-46CF-ABF6-020C2A9C34F1}"/>
    <cellStyle name="Notes" xfId="6" xr:uid="{CD4FB6AB-61EE-4E2D-8272-4C3C8CB8F35F}"/>
    <cellStyle name="Percent" xfId="2" builtinId="5"/>
    <cellStyle name="Table Header 2" xfId="3" xr:uid="{9E99C6C3-581C-4BB2-BB79-85217F221144}"/>
    <cellStyle name="Table Header 3" xfId="4" xr:uid="{BD03F56A-7F49-4032-BCAF-D3ED835F4E0E}"/>
  </cellStyles>
  <dxfs count="22">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https://www.media.stellantis.com/em-en/corporate-communications/press/stellantis-signs-offtake-agreement-and-invests-in-alliance-nickel-for-battery-grade-nickel-and-cobalt-sulphate" TargetMode="External"/><Relationship Id="rId13" Type="http://schemas.openxmlformats.org/officeDocument/2006/relationships/hyperlink" Target="https://www.electrive.com/2023/06/30/stellantis-invests-in-commodities-company-kuniko/" TargetMode="External"/><Relationship Id="rId3" Type="http://schemas.openxmlformats.org/officeDocument/2006/relationships/hyperlink" Target="https://www.automotiveworld.com/news-releases/bmw-group-steps-up-sustainable-sourcing-of-lithium-for-battery-cell-production-to-ensure-rapid-e-mobility-expansion/" TargetMode="External"/><Relationship Id="rId7" Type="http://schemas.openxmlformats.org/officeDocument/2006/relationships/hyperlink" Target="https://group.mercedes-benz.com/company/news/memorandum-of-understanding-canada.html" TargetMode="External"/><Relationship Id="rId12" Type="http://schemas.openxmlformats.org/officeDocument/2006/relationships/hyperlink" Target="https://www.terrafame.com/newsroom/news/terrafame-and-renault-group-agree-on-long-term-supply-of-sustainable-nickel-sulphate.html" TargetMode="External"/><Relationship Id="rId17" Type="http://schemas.openxmlformats.org/officeDocument/2006/relationships/printerSettings" Target="../printerSettings/printerSettings6.bin"/><Relationship Id="rId2" Type="http://schemas.openxmlformats.org/officeDocument/2006/relationships/hyperlink" Target="https://www.driving.co.uk/news/environmental-concerns-mount-use-nickel-evs/" TargetMode="External"/><Relationship Id="rId16" Type="http://schemas.openxmlformats.org/officeDocument/2006/relationships/hyperlink" Target="https://www.mining.com/world-no-2-electric-carmaker-goes-entirely-nickel-cobalt-free/" TargetMode="External"/><Relationship Id="rId1" Type="http://schemas.openxmlformats.org/officeDocument/2006/relationships/hyperlink" Target="https://www.press.bmwgroup.com/global/article/detail/T0310907EN/raw-material-supplies-for-battery-cells:-bmw-group-sources-sustainable-cobalt-worth-around-100-million-euros-from-morocco" TargetMode="External"/><Relationship Id="rId6" Type="http://schemas.openxmlformats.org/officeDocument/2006/relationships/hyperlink" Target="https://media.renaultgroup.com/renault-group-and-managem-group-sign-an-agreement-for-a-sustainable-supply-of-moroccan-cobalt/" TargetMode="External"/><Relationship Id="rId11" Type="http://schemas.openxmlformats.org/officeDocument/2006/relationships/hyperlink" Target="https://group.mercedes-benz.com/company/news/memorandum-of-understanding-canada.html" TargetMode="External"/><Relationship Id="rId5" Type="http://schemas.openxmlformats.org/officeDocument/2006/relationships/hyperlink" Target="https://group.mercedes-benz.com/sustainability/human-rights/supply-chain/cobalt.html" TargetMode="External"/><Relationship Id="rId15" Type="http://schemas.openxmlformats.org/officeDocument/2006/relationships/hyperlink" Target="http://www.cnchemicals.com/Detail/Readonline.aspx?id=8092&amp;type=n&amp;cid=20879692270" TargetMode="External"/><Relationship Id="rId10" Type="http://schemas.openxmlformats.org/officeDocument/2006/relationships/hyperlink" Target="https://www.stellantis.com/en/news/press-releases/2023/january/stellantis-signs-binding-agreement-with-element-25-limited-for-manganese-sulphate-supply-for-electric-vehicle-batteries" TargetMode="External"/><Relationship Id="rId4" Type="http://schemas.openxmlformats.org/officeDocument/2006/relationships/hyperlink" Target="https://www.automotiveworld.com/news-releases/bmw-group-steps-up-sustainable-sourcing-of-lithium-for-battery-cell-production-to-ensure-rapid-e-mobility-expansion/" TargetMode="External"/><Relationship Id="rId9" Type="http://schemas.openxmlformats.org/officeDocument/2006/relationships/hyperlink" Target="https://www.media.stellantis.com/em-en/corporate-communications/press/stellantis-signs-offtake-agreement-and-invests-in-alliance-nickel-for-battery-grade-nickel-and-cobalt-sulphate" TargetMode="External"/><Relationship Id="rId14" Type="http://schemas.openxmlformats.org/officeDocument/2006/relationships/hyperlink" Target="https://www.tesla.com/ns_videos/2022-tesla-impact-report.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electrive.com/2020/04/24/lg-chem-secures-ehalf-a-billion-for-polish-factory-expansion/" TargetMode="External"/><Relationship Id="rId13" Type="http://schemas.openxmlformats.org/officeDocument/2006/relationships/hyperlink" Target="https://uploads.vw-mms.de/system/production/files/vwn/014/540/file/26892c5d4e8b1d337a52b3c105314245ef463203/Background_Volkswagen_Group_s_battery_strategy.pdf" TargetMode="External"/><Relationship Id="rId18" Type="http://schemas.openxmlformats.org/officeDocument/2006/relationships/printerSettings" Target="../printerSettings/printerSettings7.bin"/><Relationship Id="rId3" Type="http://schemas.openxmlformats.org/officeDocument/2006/relationships/hyperlink" Target="https://www.theguardian.com/business/2023/jul/19/tata-gigafactory-plan-fills-major-blank-for-future-uk-car-industry" TargetMode="External"/><Relationship Id="rId7" Type="http://schemas.openxmlformats.org/officeDocument/2006/relationships/hyperlink" Target="https://www.hyundai.com/worldwide/en/company/newsroom/hyundai-motor-group%2C-sk-innovation-to-collaborate-on-development-of-ev-battery-industry-ecosystem-0000016517" TargetMode="External"/><Relationship Id="rId12" Type="http://schemas.openxmlformats.org/officeDocument/2006/relationships/hyperlink" Target="https://www.volkswagen-newsroom.com/en/press-releases/volkswagen-invests-a-further-500-million-in-sustainable-battery-activities-with-northvolt-ab-7246" TargetMode="External"/><Relationship Id="rId17" Type="http://schemas.openxmlformats.org/officeDocument/2006/relationships/hyperlink" Target="https://www.electrive.com/2023/10/12/svolt-signs-battery-supply-deal-with-bmw/" TargetMode="External"/><Relationship Id="rId2" Type="http://schemas.openxmlformats.org/officeDocument/2006/relationships/hyperlink" Target="https://europe.autonews.com/automakers/volvo-picks-catl-lg-chem-supply-batteries-ev-push" TargetMode="External"/><Relationship Id="rId16" Type="http://schemas.openxmlformats.org/officeDocument/2006/relationships/hyperlink" Target="https://www.reuters.com/article/us-tesla-china-catl-idINKBN1ZT16G" TargetMode="External"/><Relationship Id="rId1" Type="http://schemas.openxmlformats.org/officeDocument/2006/relationships/hyperlink" Target="https://www.stellantis.com/content/dam/stellantis-corporate/investors/events/stellantis-ev-day-2021/ev_day_2021_presentation_slides.pdf" TargetMode="External"/><Relationship Id="rId6" Type="http://schemas.openxmlformats.org/officeDocument/2006/relationships/hyperlink" Target="https://www.catl.com/en/news/968.html" TargetMode="External"/><Relationship Id="rId11" Type="http://schemas.openxmlformats.org/officeDocument/2006/relationships/hyperlink" Target="https://global.toyota/en/newsroom/corporate/28913488.html?adid=ag478_mail&amp;padid=ag478_mail" TargetMode="External"/><Relationship Id="rId5" Type="http://schemas.openxmlformats.org/officeDocument/2006/relationships/hyperlink" Target="https://europe.autonews.com/automakers/ford-said-favor-lg-over-sk-turkey-battery-plant" TargetMode="External"/><Relationship Id="rId15" Type="http://schemas.openxmlformats.org/officeDocument/2006/relationships/hyperlink" Target="https://www.reuters.com/technology/tesla-scales-back-german-battery-plans-won-over-by-us-incentives-2023-02-21/" TargetMode="External"/><Relationship Id="rId10" Type="http://schemas.openxmlformats.org/officeDocument/2006/relationships/hyperlink" Target="https://global.toyota/en/newsroom/corporate/37964997.html" TargetMode="External"/><Relationship Id="rId4" Type="http://schemas.openxmlformats.org/officeDocument/2006/relationships/hyperlink" Target="https://europe.autonews.com/suppliers/vw-bmw-invest-swedish-battery-cell-producer-northvolt" TargetMode="External"/><Relationship Id="rId9" Type="http://schemas.openxmlformats.org/officeDocument/2006/relationships/hyperlink" Target="https://www.koreatimes.co.kr/www/tech/2023/07/129_255094.html" TargetMode="External"/><Relationship Id="rId14" Type="http://schemas.openxmlformats.org/officeDocument/2006/relationships/hyperlink" Target="https://verkor.com/en/verkor-partners-with-renault-group-to-gear-up-its-battery-manufacturing-in-france/"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media.volvocars.com/global/en-gb/media/pressreleases/298545/volvo-cars-tech-fund-invests-in-battery-technology-pioneers-storedot"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stellantis.com/en/news/press-releases/2022/october/stellantis-fosters-circular-economy-ambitions-with-dedicated-business-unit-to-power-new-era-of-sustainable-manufacturing-and-consumption" TargetMode="External"/><Relationship Id="rId7" Type="http://schemas.openxmlformats.org/officeDocument/2006/relationships/hyperlink" Target="https://e-vehicleinfo.com/global/how-does-tesla-recycle-its-used-batteries-tesla-battery-recycling/" TargetMode="External"/><Relationship Id="rId2" Type="http://schemas.openxmlformats.org/officeDocument/2006/relationships/hyperlink" Target="https://media.ford.com/content/fordmedia/fna/us/en/news/2021/09/22/ford-redwood-materials-battery-recycling.html" TargetMode="External"/><Relationship Id="rId1" Type="http://schemas.openxmlformats.org/officeDocument/2006/relationships/hyperlink" Target="https://media.ford.com/content/fordmedia/fna/us/en/news/2021/04/27/ford-accelerates-battery-r-d.html" TargetMode="External"/><Relationship Id="rId6" Type="http://schemas.openxmlformats.org/officeDocument/2006/relationships/hyperlink" Target="https://www.electrive.com/2022/01/26/panasonic-toyota-tokyo-uni-join-forces-to-further-battery-circular-economy/" TargetMode="External"/><Relationship Id="rId5" Type="http://schemas.openxmlformats.org/officeDocument/2006/relationships/hyperlink" Target="https://www.electrive.com/2021/04/21/volvo-to-leverage-recycling-to-cut-costs/" TargetMode="External"/><Relationship Id="rId4" Type="http://schemas.openxmlformats.org/officeDocument/2006/relationships/hyperlink" Target="https://www.koreatimes.co.kr/www/tech/2023/07/129_336115.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supplier.mercedes-benz.com/servlet/JiveServlet/download/2672-9-3352/V052022_Responsible+Sourcing+Standards_EN.pdf" TargetMode="External"/><Relationship Id="rId13" Type="http://schemas.openxmlformats.org/officeDocument/2006/relationships/hyperlink" Target="https://www.bmwgroup.com/content/dam/grpw/websites/bmwgroup_com/responsibility/downloads/en/2021/BMW%20Group%20Sorgfaltspflicht%20bei%20der%20Lieferantenauswahl_EN.pdf" TargetMode="External"/><Relationship Id="rId18" Type="http://schemas.openxmlformats.org/officeDocument/2006/relationships/hyperlink" Target="https://www.tesla.com/ns_videos/2022-tesla-impact-report.pdf" TargetMode="External"/><Relationship Id="rId3" Type="http://schemas.openxmlformats.org/officeDocument/2006/relationships/hyperlink" Target="https://group.mercedes-benz.com/documents/sustainability/society/daimler-principles-of-social-responsibility-and-human-rights-en-20211124.pdf" TargetMode="External"/><Relationship Id="rId21" Type="http://schemas.openxmlformats.org/officeDocument/2006/relationships/hyperlink" Target="https://www.tesla.com/sites/default/files/about/legal/tesla-supplier-code-of-conduct.pdf" TargetMode="External"/><Relationship Id="rId7" Type="http://schemas.openxmlformats.org/officeDocument/2006/relationships/hyperlink" Target="https://www.volvocars.com/images/v/-/media/market-assets/intl/applications/dotcom/pdf/ethical-business/our_code_how_we_act.pdf" TargetMode="External"/><Relationship Id="rId12" Type="http://schemas.openxmlformats.org/officeDocument/2006/relationships/hyperlink" Target="https://www.volvocars.com/intl/news/sustainability/How-do-we-maintain-responsible-business-practices" TargetMode="External"/><Relationship Id="rId17" Type="http://schemas.openxmlformats.org/officeDocument/2006/relationships/hyperlink" Target="https://www.tesla.com/en_au/legal/additional-resources" TargetMode="External"/><Relationship Id="rId2" Type="http://schemas.openxmlformats.org/officeDocument/2006/relationships/hyperlink" Target="https://group.mercedes-benz.com/company/news/mercedes-benz-rocktech-lithium.html" TargetMode="External"/><Relationship Id="rId16" Type="http://schemas.openxmlformats.org/officeDocument/2006/relationships/hyperlink" Target="https://www.tesla.com/ns_videos/2022-tesla-impact-report.pdf" TargetMode="External"/><Relationship Id="rId20" Type="http://schemas.openxmlformats.org/officeDocument/2006/relationships/hyperlink" Target="https://cleantechnica.com/2021/08/27/teslas-resource-blockchain-collaboration-for-cobalt-aims-to-prove-that-tesla-ethically-sources-its-cobalt/" TargetMode="External"/><Relationship Id="rId1" Type="http://schemas.openxmlformats.org/officeDocument/2006/relationships/hyperlink" Target="https://www.electrive.com/2021/10/07/bmw-invests-in-new-lithium-mining-process/" TargetMode="External"/><Relationship Id="rId6" Type="http://schemas.openxmlformats.org/officeDocument/2006/relationships/hyperlink" Target="https://www.volkswagenag.com/presence/nachhaltigkeit/documents/policy-intern/201209-sozialcharta_en.pdf" TargetMode="External"/><Relationship Id="rId11" Type="http://schemas.openxmlformats.org/officeDocument/2006/relationships/hyperlink" Target="https://media.stellantisnorthamerica.com/newsrelease.do?id=21444&amp;mid=" TargetMode="External"/><Relationship Id="rId5" Type="http://schemas.openxmlformats.org/officeDocument/2006/relationships/hyperlink" Target="https://global.toyota/pages/global_toyota/sustainability/esg/social/human_rights_policy_en.pdf" TargetMode="External"/><Relationship Id="rId15" Type="http://schemas.openxmlformats.org/officeDocument/2006/relationships/hyperlink" Target="https://media.jlrms.com/2023-08-29/pdf/94dc7ced-2a90-4ed0-ab14-089c925e046b/JLR%20Supplier%20Code%20of%20Conduct%202023%20FULL.pdf?VersionId=zDOkSgKVFegmcZVl6ycQwik.SbOP45YH" TargetMode="External"/><Relationship Id="rId10" Type="http://schemas.openxmlformats.org/officeDocument/2006/relationships/hyperlink" Target="https://corporate.ford.com/operations/governance-and-policies/supplier-code-of-conduct.html" TargetMode="External"/><Relationship Id="rId19" Type="http://schemas.openxmlformats.org/officeDocument/2006/relationships/hyperlink" Target="https://www.mining-technology.com/news/tesla-joins-fair-cobalt-alliance/" TargetMode="External"/><Relationship Id="rId4" Type="http://schemas.openxmlformats.org/officeDocument/2006/relationships/hyperlink" Target="https://www.stellantis.com/content/dam/stellantis-corporate/group/governance/code-of-conduct/Stellantis_CoC_EN.pdf" TargetMode="External"/><Relationship Id="rId9" Type="http://schemas.openxmlformats.org/officeDocument/2006/relationships/hyperlink" Target="https://www.renaultgroup.com/wp-content/uploads/2019/03/groupe-renault-policy-eng.pdf" TargetMode="External"/><Relationship Id="rId14" Type="http://schemas.openxmlformats.org/officeDocument/2006/relationships/hyperlink" Target="https://www.renaultgroup.com/wp-content/uploads/2023/05/rg-vigilance-plan.pdf" TargetMode="External"/><Relationship Id="rId22"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catl.com/en/news/968.html" TargetMode="External"/><Relationship Id="rId13" Type="http://schemas.openxmlformats.org/officeDocument/2006/relationships/hyperlink" Target="https://www.volkswagen-newsroom.com/en/press-releases/volkswagen-invests-a-further-500-million-in-sustainable-battery-activities-with-northvolt-ab-7246" TargetMode="External"/><Relationship Id="rId18" Type="http://schemas.openxmlformats.org/officeDocument/2006/relationships/hyperlink" Target="https://www.electrive.com/2023/10/12/svolt-signs-battery-supply-deal-with-bmw/" TargetMode="External"/><Relationship Id="rId3" Type="http://schemas.openxmlformats.org/officeDocument/2006/relationships/hyperlink" Target="https://www.electrive.com/2021/04/21/volvo-to-leverage-recycling-to-cut-costs/" TargetMode="External"/><Relationship Id="rId21" Type="http://schemas.openxmlformats.org/officeDocument/2006/relationships/hyperlink" Target="https://northvolt.com/articles/the-northvolt-volvo-cars-joint-venture/" TargetMode="External"/><Relationship Id="rId7" Type="http://schemas.openxmlformats.org/officeDocument/2006/relationships/hyperlink" Target="https://europe.autonews.com/suppliers/vw-bmw-invest-swedish-battery-cell-producer-northvolt" TargetMode="External"/><Relationship Id="rId12" Type="http://schemas.openxmlformats.org/officeDocument/2006/relationships/hyperlink" Target="https://global.toyota/en/newsroom/corporate/28913488.html?adid=ag478_mail&amp;padid=ag478_mail" TargetMode="External"/><Relationship Id="rId17" Type="http://schemas.openxmlformats.org/officeDocument/2006/relationships/hyperlink" Target="https://www.reuters.com/article/us-tesla-china-catl-idINKBN1ZT16G" TargetMode="External"/><Relationship Id="rId2" Type="http://schemas.openxmlformats.org/officeDocument/2006/relationships/hyperlink" Target="https://www.stellantis.com/en/news/press-releases/2022/october/stellantis-fosters-circular-economy-ambitions-with-dedicated-business-unit-to-power-new-era-of-sustainable-manufacturing-and-consumption" TargetMode="External"/><Relationship Id="rId16" Type="http://schemas.openxmlformats.org/officeDocument/2006/relationships/hyperlink" Target="https://www.reuters.com/technology/tesla-scales-back-german-battery-plans-won-over-by-us-incentives-2023-02-21/" TargetMode="External"/><Relationship Id="rId20" Type="http://schemas.openxmlformats.org/officeDocument/2006/relationships/hyperlink" Target="https://www.acc-emotion.com/stories/automotive-cells-company-acc-welcomes-mercedes-benz-future-equal-shareholder-alongside" TargetMode="External"/><Relationship Id="rId1" Type="http://schemas.openxmlformats.org/officeDocument/2006/relationships/hyperlink" Target="https://www.volkswagen-newsroom.com/en/press-releases/transforming-old-into-new-volkswagen-group-components-commences-battery-recycling-6789" TargetMode="External"/><Relationship Id="rId6" Type="http://schemas.openxmlformats.org/officeDocument/2006/relationships/hyperlink" Target="https://www.theguardian.com/business/2023/jul/19/tata-gigafactory-plan-fills-major-blank-for-future-uk-car-industry" TargetMode="External"/><Relationship Id="rId11" Type="http://schemas.openxmlformats.org/officeDocument/2006/relationships/hyperlink" Target="https://www.koreatimes.co.kr/www/tech/2023/07/129_255094.html" TargetMode="External"/><Relationship Id="rId5" Type="http://schemas.openxmlformats.org/officeDocument/2006/relationships/hyperlink" Target="https://europe.autonews.com/automakers/volvo-picks-catl-lg-chem-supply-batteries-ev-push" TargetMode="External"/><Relationship Id="rId15" Type="http://schemas.openxmlformats.org/officeDocument/2006/relationships/hyperlink" Target="https://verkor.com/en/verkor-partners-with-renault-group-to-gear-up-its-battery-manufacturing-in-france/" TargetMode="External"/><Relationship Id="rId23" Type="http://schemas.openxmlformats.org/officeDocument/2006/relationships/printerSettings" Target="../printerSettings/printerSettings2.bin"/><Relationship Id="rId10" Type="http://schemas.openxmlformats.org/officeDocument/2006/relationships/hyperlink" Target="https://www.electrive.com/2020/04/24/lg-chem-secures-ehalf-a-billion-for-polish-factory-expansion/" TargetMode="External"/><Relationship Id="rId19" Type="http://schemas.openxmlformats.org/officeDocument/2006/relationships/hyperlink" Target="https://www.toyota-europe.com/sustainability/circularity" TargetMode="External"/><Relationship Id="rId4" Type="http://schemas.openxmlformats.org/officeDocument/2006/relationships/hyperlink" Target="https://www.stellantis.com/content/dam/stellantis-corporate/investors/events/stellantis-ev-day-2021/ev_day_2021_presentation_slides.pdf" TargetMode="External"/><Relationship Id="rId9" Type="http://schemas.openxmlformats.org/officeDocument/2006/relationships/hyperlink" Target="https://www.hyundai.com/worldwide/en/company/newsroom/hyundai-motor-group%2C-sk-innovation-to-collaborate-on-development-of-ev-battery-industry-ecosystem-0000016517" TargetMode="External"/><Relationship Id="rId14" Type="http://schemas.openxmlformats.org/officeDocument/2006/relationships/hyperlink" Target="https://uploads.vw-mms.de/system/production/files/vwn/014/540/file/26892c5d4e8b1d337a52b3c105314245ef463203/Background_Volkswagen_Group_s_battery_strategy.pdf" TargetMode="External"/><Relationship Id="rId22" Type="http://schemas.openxmlformats.org/officeDocument/2006/relationships/hyperlink" Target="https://group.mercedes-benz.com/company/news/memorandum-of-understanding-canada.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B5F5D-5F8B-4858-B687-736A0F043329}">
  <sheetPr>
    <tabColor theme="9"/>
  </sheetPr>
  <dimension ref="A1"/>
  <sheetViews>
    <sheetView workbookViewId="0">
      <selection activeCell="G51" sqref="G51"/>
    </sheetView>
  </sheetViews>
  <sheetFormatPr defaultRowHeight="14.4"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AI18"/>
  <sheetViews>
    <sheetView workbookViewId="0">
      <pane xSplit="1" ySplit="1" topLeftCell="B2" activePane="bottomRight" state="frozen"/>
      <selection activeCell="T14" sqref="B2:T14"/>
      <selection pane="topRight" activeCell="T14" sqref="B2:T14"/>
      <selection pane="bottomLeft" activeCell="T14" sqref="B2:T14"/>
      <selection pane="bottomRight" activeCell="T6" sqref="T6"/>
    </sheetView>
  </sheetViews>
  <sheetFormatPr defaultRowHeight="27" customHeight="1" x14ac:dyDescent="0.3"/>
  <cols>
    <col min="1" max="1" width="8.88671875" style="21"/>
    <col min="2" max="6" width="15.77734375" style="21" customWidth="1"/>
    <col min="7" max="7" width="18.109375" style="21" customWidth="1"/>
    <col min="8" max="8" width="14.5546875" style="21" customWidth="1"/>
    <col min="9" max="9" width="11.21875" style="21" customWidth="1"/>
    <col min="10" max="10" width="28.5546875" style="21" customWidth="1"/>
    <col min="11" max="14" width="15.77734375" style="21" customWidth="1"/>
    <col min="15" max="15" width="17.33203125" style="21" customWidth="1"/>
    <col min="16" max="16" width="16.88671875" style="21" customWidth="1"/>
    <col min="17" max="17" width="11.5546875" style="21" customWidth="1"/>
    <col min="18" max="22" width="15.77734375" style="21" customWidth="1"/>
    <col min="23" max="23" width="17.5546875" style="21" customWidth="1"/>
    <col min="24" max="24" width="13" style="21" customWidth="1"/>
    <col min="25" max="25" width="11.5546875" style="21" customWidth="1"/>
    <col min="26" max="31" width="15.77734375" style="21" customWidth="1"/>
    <col min="32" max="34" width="20.33203125" style="21" customWidth="1"/>
    <col min="35" max="35" width="15.77734375" style="21" customWidth="1"/>
    <col min="36" max="16384" width="8.88671875" style="128"/>
  </cols>
  <sheetData>
    <row r="1" spans="1:35" s="69" customFormat="1" ht="47.4" customHeight="1" thickBot="1" x14ac:dyDescent="0.35">
      <c r="A1" s="36" t="s">
        <v>0</v>
      </c>
      <c r="B1" s="35" t="s">
        <v>15</v>
      </c>
      <c r="C1" s="31" t="s">
        <v>95</v>
      </c>
      <c r="D1" s="32" t="s">
        <v>97</v>
      </c>
      <c r="E1" s="78" t="s">
        <v>113</v>
      </c>
      <c r="F1" s="33" t="s">
        <v>35</v>
      </c>
      <c r="G1" s="33" t="s">
        <v>96</v>
      </c>
      <c r="H1" s="33" t="s">
        <v>291</v>
      </c>
      <c r="I1" s="78" t="s">
        <v>91</v>
      </c>
      <c r="J1" s="33" t="s">
        <v>75</v>
      </c>
      <c r="K1" s="34" t="s">
        <v>95</v>
      </c>
      <c r="L1" s="35" t="s">
        <v>98</v>
      </c>
      <c r="M1" s="125" t="s">
        <v>109</v>
      </c>
      <c r="N1" s="33" t="s">
        <v>35</v>
      </c>
      <c r="O1" s="33" t="s">
        <v>90</v>
      </c>
      <c r="P1" s="33" t="s">
        <v>292</v>
      </c>
      <c r="Q1" s="78" t="s">
        <v>92</v>
      </c>
      <c r="R1" s="33" t="s">
        <v>75</v>
      </c>
      <c r="S1" s="31" t="s">
        <v>95</v>
      </c>
      <c r="T1" s="32" t="s">
        <v>99</v>
      </c>
      <c r="U1" s="78" t="s">
        <v>112</v>
      </c>
      <c r="V1" s="33" t="s">
        <v>115</v>
      </c>
      <c r="W1" s="33" t="s">
        <v>93</v>
      </c>
      <c r="X1" s="33" t="s">
        <v>293</v>
      </c>
      <c r="Y1" s="78" t="s">
        <v>94</v>
      </c>
      <c r="Z1" s="33" t="s">
        <v>75</v>
      </c>
      <c r="AA1" s="34" t="s">
        <v>95</v>
      </c>
      <c r="AB1" s="35" t="s">
        <v>47</v>
      </c>
      <c r="AC1" s="33" t="s">
        <v>35</v>
      </c>
      <c r="AD1" s="31" t="s">
        <v>95</v>
      </c>
      <c r="AE1" s="32" t="s">
        <v>374</v>
      </c>
      <c r="AF1" s="78" t="s">
        <v>372</v>
      </c>
      <c r="AG1" s="31" t="s">
        <v>379</v>
      </c>
      <c r="AH1" s="73" t="s">
        <v>373</v>
      </c>
      <c r="AI1" s="34" t="s">
        <v>95</v>
      </c>
    </row>
    <row r="2" spans="1:35" s="69" customFormat="1" ht="100.05" customHeight="1" x14ac:dyDescent="0.3">
      <c r="A2" s="37" t="s">
        <v>1</v>
      </c>
      <c r="B2" s="30" t="s">
        <v>44</v>
      </c>
      <c r="C2" s="25" t="s">
        <v>45</v>
      </c>
      <c r="D2" s="26" t="s">
        <v>399</v>
      </c>
      <c r="E2" s="24" t="s">
        <v>400</v>
      </c>
      <c r="F2" s="24" t="s">
        <v>62</v>
      </c>
      <c r="G2" s="27">
        <f>9000*'Units conversion'!B2/1000</f>
        <v>1.4850000000000001</v>
      </c>
      <c r="H2" s="27">
        <v>17.458219562464773</v>
      </c>
      <c r="I2" s="28">
        <f>G2/H2</f>
        <v>8.5060220183778346E-2</v>
      </c>
      <c r="J2" s="24" t="s">
        <v>101</v>
      </c>
      <c r="K2" s="29" t="s">
        <v>61</v>
      </c>
      <c r="L2" s="30" t="s">
        <v>110</v>
      </c>
      <c r="M2" s="30"/>
      <c r="N2" s="24"/>
      <c r="O2" s="24"/>
      <c r="P2" s="27">
        <v>117.01015213130033</v>
      </c>
      <c r="Q2" s="28">
        <f>O2/P2</f>
        <v>0</v>
      </c>
      <c r="R2" s="24"/>
      <c r="S2" s="25" t="s">
        <v>14</v>
      </c>
      <c r="T2" s="26" t="s">
        <v>114</v>
      </c>
      <c r="U2" s="24"/>
      <c r="V2" s="24"/>
      <c r="W2" s="24"/>
      <c r="X2" s="27">
        <v>15.24668206775044</v>
      </c>
      <c r="Y2" s="28">
        <f>W2/X2</f>
        <v>0</v>
      </c>
      <c r="Z2" s="24"/>
      <c r="AA2" s="29" t="s">
        <v>63</v>
      </c>
      <c r="AB2" s="30"/>
      <c r="AC2" s="24"/>
      <c r="AD2" s="25"/>
      <c r="AE2" s="26"/>
      <c r="AF2" s="24"/>
      <c r="AG2" s="25"/>
      <c r="AH2" s="25"/>
      <c r="AI2" s="29"/>
    </row>
    <row r="3" spans="1:35" s="69" customFormat="1" ht="100.05" customHeight="1" x14ac:dyDescent="0.3">
      <c r="A3" s="37" t="s">
        <v>290</v>
      </c>
      <c r="B3" s="30"/>
      <c r="C3" s="25"/>
      <c r="D3" s="26" t="s">
        <v>352</v>
      </c>
      <c r="E3" s="24" t="s">
        <v>340</v>
      </c>
      <c r="F3" s="24"/>
      <c r="G3" s="27"/>
      <c r="H3" s="27">
        <v>20.08763066275575</v>
      </c>
      <c r="I3" s="28">
        <v>0</v>
      </c>
      <c r="J3" s="24"/>
      <c r="K3" s="29" t="s">
        <v>351</v>
      </c>
      <c r="L3" s="19" t="s">
        <v>343</v>
      </c>
      <c r="M3" s="30" t="s">
        <v>344</v>
      </c>
      <c r="N3" s="24"/>
      <c r="O3" s="24"/>
      <c r="P3" s="27">
        <v>0</v>
      </c>
      <c r="Q3" s="28">
        <v>1</v>
      </c>
      <c r="R3" s="24"/>
      <c r="S3" s="17" t="s">
        <v>342</v>
      </c>
      <c r="T3" s="19" t="s">
        <v>343</v>
      </c>
      <c r="U3" s="1" t="s">
        <v>328</v>
      </c>
      <c r="V3" s="1"/>
      <c r="W3" s="1"/>
      <c r="X3" s="14">
        <v>0</v>
      </c>
      <c r="Y3" s="171">
        <v>1</v>
      </c>
      <c r="Z3" s="1"/>
      <c r="AA3" s="20" t="s">
        <v>341</v>
      </c>
      <c r="AB3" s="30"/>
      <c r="AC3" s="24"/>
      <c r="AD3" s="25"/>
      <c r="AE3" s="26" t="s">
        <v>338</v>
      </c>
      <c r="AF3" s="24" t="s">
        <v>375</v>
      </c>
      <c r="AG3" s="25"/>
      <c r="AH3" s="25"/>
      <c r="AI3" s="20" t="s">
        <v>339</v>
      </c>
    </row>
    <row r="4" spans="1:35" s="69" customFormat="1" ht="100.05" customHeight="1" x14ac:dyDescent="0.3">
      <c r="A4" s="38" t="s">
        <v>11</v>
      </c>
      <c r="B4" s="18" t="s">
        <v>513</v>
      </c>
      <c r="C4" s="25" t="s">
        <v>22</v>
      </c>
      <c r="D4" s="19" t="s">
        <v>103</v>
      </c>
      <c r="E4" s="1" t="s">
        <v>118</v>
      </c>
      <c r="F4" s="1" t="s">
        <v>64</v>
      </c>
      <c r="G4" s="14">
        <f>10000*'Units conversion'!B2/1000</f>
        <v>1.65</v>
      </c>
      <c r="H4" s="27">
        <v>19.156404036810287</v>
      </c>
      <c r="I4" s="28">
        <f t="shared" ref="I4:I13" si="0">G4/H4</f>
        <v>8.6133075749990282E-2</v>
      </c>
      <c r="J4" s="1"/>
      <c r="K4" s="20" t="s">
        <v>108</v>
      </c>
      <c r="L4" s="18" t="s">
        <v>18</v>
      </c>
      <c r="M4" s="18"/>
      <c r="N4" s="1"/>
      <c r="O4" s="1"/>
      <c r="P4" s="27">
        <v>108.27427513108924</v>
      </c>
      <c r="Q4" s="28">
        <f t="shared" ref="Q4:Q13" si="1">O4/P4</f>
        <v>0</v>
      </c>
      <c r="R4" s="1"/>
      <c r="S4" s="17" t="s">
        <v>19</v>
      </c>
      <c r="T4" s="19" t="s">
        <v>16</v>
      </c>
      <c r="U4" s="1"/>
      <c r="V4" s="1"/>
      <c r="W4" s="1"/>
      <c r="X4" s="14">
        <v>17.786692789752955</v>
      </c>
      <c r="Y4" s="171">
        <f t="shared" ref="Y4:Y13" si="2">W4/X4</f>
        <v>0</v>
      </c>
      <c r="Z4" s="1"/>
      <c r="AA4" s="20" t="s">
        <v>17</v>
      </c>
      <c r="AB4" s="22"/>
      <c r="AC4" s="2"/>
      <c r="AD4" s="23"/>
      <c r="AE4" s="19" t="s">
        <v>378</v>
      </c>
      <c r="AF4" s="1" t="s">
        <v>377</v>
      </c>
      <c r="AG4" s="17" t="s">
        <v>376</v>
      </c>
      <c r="AH4" s="17" t="s">
        <v>278</v>
      </c>
      <c r="AI4" s="20" t="s">
        <v>382</v>
      </c>
    </row>
    <row r="5" spans="1:35" s="69" customFormat="1" ht="100.05" customHeight="1" x14ac:dyDescent="0.3">
      <c r="A5" s="38" t="s">
        <v>2</v>
      </c>
      <c r="B5" s="18" t="s">
        <v>54</v>
      </c>
      <c r="C5" s="17" t="s">
        <v>55</v>
      </c>
      <c r="D5" s="19" t="s">
        <v>59</v>
      </c>
      <c r="E5" s="1" t="s">
        <v>630</v>
      </c>
      <c r="F5" s="1" t="s">
        <v>76</v>
      </c>
      <c r="G5" s="14">
        <f>(7000*'Units conversion'!B3+150000*'Units conversion'!B4+40%*35000*'Units conversion'!B3+100000/5*'Units conversion'!B2+13000*'Units conversion'!B2)/1000</f>
        <v>13.577999999999999</v>
      </c>
      <c r="H5" s="27">
        <v>22.582667216027527</v>
      </c>
      <c r="I5" s="28">
        <f t="shared" si="0"/>
        <v>0.60125758707383015</v>
      </c>
      <c r="J5" s="1" t="s">
        <v>78</v>
      </c>
      <c r="K5" s="20" t="s">
        <v>77</v>
      </c>
      <c r="L5" s="18" t="s">
        <v>52</v>
      </c>
      <c r="M5" s="18" t="s">
        <v>631</v>
      </c>
      <c r="N5" s="1" t="s">
        <v>60</v>
      </c>
      <c r="O5" s="1">
        <f>84000/1000</f>
        <v>84</v>
      </c>
      <c r="P5" s="27">
        <v>113.89015443560187</v>
      </c>
      <c r="Q5" s="28">
        <f t="shared" si="1"/>
        <v>0.73755277983661893</v>
      </c>
      <c r="R5" s="1" t="s">
        <v>80</v>
      </c>
      <c r="S5" s="17" t="s">
        <v>79</v>
      </c>
      <c r="T5" s="220" t="s">
        <v>694</v>
      </c>
      <c r="U5" s="222" t="s">
        <v>278</v>
      </c>
      <c r="V5" s="1"/>
      <c r="W5" s="1"/>
      <c r="X5" s="14">
        <v>10.81131361776519</v>
      </c>
      <c r="Y5" s="171">
        <f t="shared" si="2"/>
        <v>0</v>
      </c>
      <c r="Z5" s="1"/>
      <c r="AA5" s="20"/>
      <c r="AB5" s="18" t="s">
        <v>232</v>
      </c>
      <c r="AC5" s="1"/>
      <c r="AD5" s="17" t="s">
        <v>53</v>
      </c>
      <c r="AE5" s="19" t="s">
        <v>380</v>
      </c>
      <c r="AF5" s="1" t="s">
        <v>381</v>
      </c>
      <c r="AG5" s="17"/>
      <c r="AH5" s="17"/>
      <c r="AI5" s="20" t="s">
        <v>383</v>
      </c>
    </row>
    <row r="6" spans="1:35" s="69" customFormat="1" ht="100.05" customHeight="1" x14ac:dyDescent="0.3">
      <c r="A6" s="38" t="s">
        <v>3</v>
      </c>
      <c r="B6" s="18" t="s">
        <v>23</v>
      </c>
      <c r="C6" s="17"/>
      <c r="D6" s="19"/>
      <c r="E6" s="1"/>
      <c r="F6" s="1"/>
      <c r="G6" s="14"/>
      <c r="H6" s="27">
        <v>33.740303164978975</v>
      </c>
      <c r="I6" s="28">
        <f t="shared" si="0"/>
        <v>0</v>
      </c>
      <c r="J6" s="1"/>
      <c r="K6" s="20"/>
      <c r="L6" s="18" t="s">
        <v>276</v>
      </c>
      <c r="M6" s="18" t="s">
        <v>278</v>
      </c>
      <c r="N6" s="1"/>
      <c r="O6" s="1"/>
      <c r="P6" s="27">
        <v>193.80718458218794</v>
      </c>
      <c r="Q6" s="28">
        <f t="shared" si="1"/>
        <v>0</v>
      </c>
      <c r="R6" s="1"/>
      <c r="S6" s="17" t="s">
        <v>277</v>
      </c>
      <c r="T6" s="19"/>
      <c r="U6" s="1"/>
      <c r="V6" s="1"/>
      <c r="W6" s="1"/>
      <c r="X6" s="14">
        <v>30.990369206210431</v>
      </c>
      <c r="Y6" s="171">
        <f t="shared" si="2"/>
        <v>0</v>
      </c>
      <c r="Z6" s="1"/>
      <c r="AA6" s="20"/>
      <c r="AB6" s="18"/>
      <c r="AC6" s="1"/>
      <c r="AD6" s="17"/>
      <c r="AE6" s="19"/>
      <c r="AF6" s="1"/>
      <c r="AG6" s="17"/>
      <c r="AH6" s="17"/>
      <c r="AI6" s="20"/>
    </row>
    <row r="7" spans="1:35" s="69" customFormat="1" ht="100.05" customHeight="1" x14ac:dyDescent="0.3">
      <c r="A7" s="38" t="s">
        <v>4</v>
      </c>
      <c r="B7" s="18"/>
      <c r="C7" s="17"/>
      <c r="D7" s="19"/>
      <c r="E7" s="1"/>
      <c r="F7" s="1"/>
      <c r="G7" s="14"/>
      <c r="H7" s="27">
        <v>3.6038249685139756</v>
      </c>
      <c r="I7" s="28">
        <f t="shared" si="0"/>
        <v>0</v>
      </c>
      <c r="J7" s="1"/>
      <c r="K7" s="20"/>
      <c r="L7" s="18"/>
      <c r="M7" s="18"/>
      <c r="N7" s="1"/>
      <c r="O7" s="1"/>
      <c r="P7" s="27">
        <v>27.362393987085966</v>
      </c>
      <c r="Q7" s="28">
        <f t="shared" si="1"/>
        <v>0</v>
      </c>
      <c r="R7" s="1"/>
      <c r="S7" s="17"/>
      <c r="T7" s="19"/>
      <c r="U7" s="1"/>
      <c r="V7" s="1"/>
      <c r="W7" s="1"/>
      <c r="X7" s="14">
        <v>1.3894465714266795</v>
      </c>
      <c r="Y7" s="171">
        <f t="shared" si="2"/>
        <v>0</v>
      </c>
      <c r="Z7" s="1"/>
      <c r="AA7" s="20"/>
      <c r="AB7" s="18"/>
      <c r="AC7" s="1"/>
      <c r="AD7" s="17"/>
      <c r="AE7" s="19"/>
      <c r="AF7" s="1"/>
      <c r="AG7" s="17"/>
      <c r="AH7" s="17"/>
      <c r="AI7" s="20"/>
    </row>
    <row r="8" spans="1:35" s="69" customFormat="1" ht="100.05" customHeight="1" x14ac:dyDescent="0.3">
      <c r="A8" s="38" t="s">
        <v>5</v>
      </c>
      <c r="B8" s="18"/>
      <c r="C8" s="17"/>
      <c r="D8" s="19" t="s">
        <v>357</v>
      </c>
      <c r="E8" s="1" t="s">
        <v>358</v>
      </c>
      <c r="F8" s="1" t="s">
        <v>359</v>
      </c>
      <c r="G8" s="14">
        <f>(17000*'Units conversion'!B2+25000/5*'Units conversion'!B2)/1000</f>
        <v>3.63</v>
      </c>
      <c r="H8" s="27">
        <v>7.8740080515514004</v>
      </c>
      <c r="I8" s="28">
        <f t="shared" si="0"/>
        <v>0.46101045061603513</v>
      </c>
      <c r="J8" s="1" t="s">
        <v>360</v>
      </c>
      <c r="K8" s="20" t="s">
        <v>356</v>
      </c>
      <c r="L8" s="18" t="s">
        <v>25</v>
      </c>
      <c r="M8" s="18" t="s">
        <v>118</v>
      </c>
      <c r="N8" s="1" t="s">
        <v>81</v>
      </c>
      <c r="O8" s="285" t="s">
        <v>83</v>
      </c>
      <c r="P8" s="286">
        <v>61.049145150666327</v>
      </c>
      <c r="Q8" s="28">
        <f>15/P8</f>
        <v>0.24570368615286467</v>
      </c>
      <c r="R8" s="1" t="s">
        <v>102</v>
      </c>
      <c r="S8" s="17" t="s">
        <v>82</v>
      </c>
      <c r="T8" s="19" t="s">
        <v>26</v>
      </c>
      <c r="U8" s="1" t="s">
        <v>118</v>
      </c>
      <c r="V8" s="1" t="s">
        <v>36</v>
      </c>
      <c r="W8" s="1">
        <f>5000*'Units conversion'!B6/1000</f>
        <v>1.0249999999999999</v>
      </c>
      <c r="X8" s="14">
        <v>10.537939191495257</v>
      </c>
      <c r="Y8" s="171">
        <f t="shared" si="2"/>
        <v>9.7267594865914186E-2</v>
      </c>
      <c r="Z8" s="1"/>
      <c r="AA8" s="20" t="s">
        <v>24</v>
      </c>
      <c r="AB8" s="22"/>
      <c r="AC8" s="2"/>
      <c r="AD8" s="23"/>
      <c r="AE8" s="19"/>
      <c r="AF8" s="1"/>
      <c r="AG8" s="17"/>
      <c r="AH8" s="17"/>
      <c r="AI8" s="20"/>
    </row>
    <row r="9" spans="1:35" s="69" customFormat="1" ht="100.05" customHeight="1" x14ac:dyDescent="0.3">
      <c r="A9" s="38" t="s">
        <v>6</v>
      </c>
      <c r="B9" s="18" t="s">
        <v>69</v>
      </c>
      <c r="C9" s="17" t="s">
        <v>70</v>
      </c>
      <c r="D9" s="19" t="s">
        <v>285</v>
      </c>
      <c r="E9" s="1" t="s">
        <v>284</v>
      </c>
      <c r="F9" s="1" t="s">
        <v>286</v>
      </c>
      <c r="G9" s="14">
        <f>(99000/5*'Units conversion'!B2+25000*'Units conversion'!B2+15000*'Units conversion'!B3)/1000</f>
        <v>10.212</v>
      </c>
      <c r="H9" s="27">
        <v>43.424407643048021</v>
      </c>
      <c r="I9" s="28">
        <f t="shared" si="0"/>
        <v>0.23516728389120301</v>
      </c>
      <c r="J9" s="1" t="s">
        <v>287</v>
      </c>
      <c r="K9" s="20" t="s">
        <v>288</v>
      </c>
      <c r="L9" s="18" t="s">
        <v>334</v>
      </c>
      <c r="M9" s="18" t="s">
        <v>335</v>
      </c>
      <c r="N9" s="1" t="s">
        <v>86</v>
      </c>
      <c r="O9" s="15">
        <f>170000*'Units conversion'!B5/5/1000</f>
        <v>7.5819999999999999</v>
      </c>
      <c r="P9" s="27">
        <v>183.35746718276894</v>
      </c>
      <c r="Q9" s="28">
        <f t="shared" si="1"/>
        <v>4.1350920235183747E-2</v>
      </c>
      <c r="R9" s="1" t="s">
        <v>85</v>
      </c>
      <c r="S9" s="17" t="s">
        <v>336</v>
      </c>
      <c r="T9" s="19" t="s">
        <v>67</v>
      </c>
      <c r="U9" s="1" t="s">
        <v>116</v>
      </c>
      <c r="V9" s="1" t="s">
        <v>46</v>
      </c>
      <c r="W9" s="1">
        <f>12000*'Units conversion'!B6/5/1000</f>
        <v>0.49199999999999999</v>
      </c>
      <c r="X9" s="14">
        <v>3.2851330382584729</v>
      </c>
      <c r="Y9" s="171">
        <f t="shared" si="2"/>
        <v>0.14976562418331188</v>
      </c>
      <c r="Z9" s="1"/>
      <c r="AA9" s="20" t="s">
        <v>68</v>
      </c>
      <c r="AB9" s="18" t="s">
        <v>233</v>
      </c>
      <c r="AC9" s="1" t="s">
        <v>58</v>
      </c>
      <c r="AD9" s="17" t="s">
        <v>57</v>
      </c>
      <c r="AE9" s="19" t="s">
        <v>384</v>
      </c>
      <c r="AF9" s="1" t="s">
        <v>377</v>
      </c>
      <c r="AG9" s="17"/>
      <c r="AH9" s="17"/>
      <c r="AI9" s="20" t="s">
        <v>385</v>
      </c>
    </row>
    <row r="10" spans="1:35" s="69" customFormat="1" ht="182.4" customHeight="1" x14ac:dyDescent="0.3">
      <c r="A10" s="153" t="s">
        <v>7</v>
      </c>
      <c r="B10" s="18" t="s">
        <v>326</v>
      </c>
      <c r="C10" s="17" t="s">
        <v>308</v>
      </c>
      <c r="D10" s="19" t="s">
        <v>389</v>
      </c>
      <c r="E10" s="1" t="s">
        <v>398</v>
      </c>
      <c r="F10" s="1" t="s">
        <v>325</v>
      </c>
      <c r="G10" s="14">
        <f>301/6.5*'Units conversion'!B2</f>
        <v>7.640769230769231</v>
      </c>
      <c r="H10" s="27">
        <v>19.44589432444565</v>
      </c>
      <c r="I10" s="28">
        <f t="shared" si="0"/>
        <v>0.39292454763388973</v>
      </c>
      <c r="J10" s="1" t="s">
        <v>324</v>
      </c>
      <c r="K10" s="20" t="s">
        <v>388</v>
      </c>
      <c r="L10" s="18" t="s">
        <v>320</v>
      </c>
      <c r="M10" s="18" t="s">
        <v>327</v>
      </c>
      <c r="N10" s="1" t="s">
        <v>323</v>
      </c>
      <c r="O10" s="1">
        <f>75000/6*10.8%/1000</f>
        <v>1.3500000000000003</v>
      </c>
      <c r="P10" s="27">
        <v>37.600022815142808</v>
      </c>
      <c r="Q10" s="28">
        <f>O10/P10</f>
        <v>3.5904233532973E-2</v>
      </c>
      <c r="R10" s="1" t="s">
        <v>322</v>
      </c>
      <c r="S10" s="17" t="s">
        <v>321</v>
      </c>
      <c r="T10" s="19" t="s">
        <v>329</v>
      </c>
      <c r="U10" s="1" t="s">
        <v>328</v>
      </c>
      <c r="V10" s="1"/>
      <c r="W10" s="1"/>
      <c r="X10" s="14">
        <v>0</v>
      </c>
      <c r="Y10" s="171">
        <v>1</v>
      </c>
      <c r="Z10" s="1"/>
      <c r="AA10" s="20" t="s">
        <v>317</v>
      </c>
      <c r="AB10" s="18" t="s">
        <v>318</v>
      </c>
      <c r="AC10" s="1"/>
      <c r="AD10" s="17" t="s">
        <v>319</v>
      </c>
      <c r="AE10" s="19" t="s">
        <v>386</v>
      </c>
      <c r="AF10" s="1" t="s">
        <v>390</v>
      </c>
      <c r="AG10" s="17" t="s">
        <v>391</v>
      </c>
      <c r="AH10" s="17" t="s">
        <v>377</v>
      </c>
      <c r="AI10" s="20" t="s">
        <v>387</v>
      </c>
    </row>
    <row r="11" spans="1:35" s="69" customFormat="1" ht="100.05" customHeight="1" x14ac:dyDescent="0.3">
      <c r="A11" s="38" t="s">
        <v>8</v>
      </c>
      <c r="B11" s="18"/>
      <c r="C11" s="17"/>
      <c r="D11" s="19" t="s">
        <v>104</v>
      </c>
      <c r="E11" s="1" t="s">
        <v>239</v>
      </c>
      <c r="F11" s="1" t="s">
        <v>105</v>
      </c>
      <c r="G11" s="14">
        <f>4000*'Units conversion'!B3/1000</f>
        <v>0.752</v>
      </c>
      <c r="H11" s="27">
        <v>31.734874775604318</v>
      </c>
      <c r="I11" s="28">
        <f t="shared" si="0"/>
        <v>2.3696327945749076E-2</v>
      </c>
      <c r="J11" s="1"/>
      <c r="K11" s="20" t="s">
        <v>71</v>
      </c>
      <c r="L11" s="18" t="s">
        <v>50</v>
      </c>
      <c r="M11" s="18" t="s">
        <v>111</v>
      </c>
      <c r="N11" s="1"/>
      <c r="O11" s="1"/>
      <c r="P11" s="27">
        <v>175.50108956849431</v>
      </c>
      <c r="Q11" s="28">
        <f t="shared" si="1"/>
        <v>0</v>
      </c>
      <c r="R11" s="1"/>
      <c r="S11" s="17" t="s">
        <v>51</v>
      </c>
      <c r="T11" s="19"/>
      <c r="U11" s="1"/>
      <c r="V11" s="1"/>
      <c r="W11" s="1"/>
      <c r="X11" s="14">
        <v>18.66933962951747</v>
      </c>
      <c r="Y11" s="171">
        <f t="shared" si="2"/>
        <v>0</v>
      </c>
      <c r="Z11" s="1"/>
      <c r="AA11" s="20"/>
      <c r="AB11" s="18"/>
      <c r="AC11" s="1"/>
      <c r="AD11" s="17"/>
      <c r="AE11" s="19" t="s">
        <v>392</v>
      </c>
      <c r="AF11" s="1" t="s">
        <v>393</v>
      </c>
      <c r="AG11" s="17"/>
      <c r="AH11" s="17"/>
      <c r="AI11" s="20" t="s">
        <v>394</v>
      </c>
    </row>
    <row r="12" spans="1:35" s="69" customFormat="1" ht="100.05" customHeight="1" x14ac:dyDescent="0.3">
      <c r="A12" s="38" t="s">
        <v>9</v>
      </c>
      <c r="B12" s="18"/>
      <c r="C12" s="17"/>
      <c r="D12" s="19"/>
      <c r="E12" s="1"/>
      <c r="F12" s="1"/>
      <c r="G12" s="14"/>
      <c r="H12" s="27">
        <v>8.6230664811952806</v>
      </c>
      <c r="I12" s="28">
        <f t="shared" si="0"/>
        <v>0</v>
      </c>
      <c r="J12" s="1"/>
      <c r="K12" s="20"/>
      <c r="L12" s="18"/>
      <c r="M12" s="18"/>
      <c r="N12" s="1"/>
      <c r="O12" s="1"/>
      <c r="P12" s="27">
        <v>57.047551356390564</v>
      </c>
      <c r="Q12" s="28">
        <f t="shared" si="1"/>
        <v>0</v>
      </c>
      <c r="R12" s="1"/>
      <c r="S12" s="17"/>
      <c r="T12" s="19"/>
      <c r="U12" s="1"/>
      <c r="V12" s="1"/>
      <c r="W12" s="1"/>
      <c r="X12" s="14">
        <v>7.757988721942227</v>
      </c>
      <c r="Y12" s="171">
        <f t="shared" si="2"/>
        <v>0</v>
      </c>
      <c r="Z12" s="1"/>
      <c r="AA12" s="20"/>
      <c r="AB12" s="18"/>
      <c r="AC12" s="1"/>
      <c r="AD12" s="17"/>
      <c r="AE12" s="19"/>
      <c r="AF12" s="1"/>
      <c r="AG12" s="17"/>
      <c r="AH12" s="17"/>
      <c r="AI12" s="20"/>
    </row>
    <row r="13" spans="1:35" s="69" customFormat="1" ht="100.05" customHeight="1" thickBot="1" x14ac:dyDescent="0.35">
      <c r="A13" s="110" t="s">
        <v>10</v>
      </c>
      <c r="B13" s="122" t="s">
        <v>39</v>
      </c>
      <c r="C13" s="117" t="s">
        <v>40</v>
      </c>
      <c r="D13" s="111" t="s">
        <v>106</v>
      </c>
      <c r="E13" s="116" t="s">
        <v>119</v>
      </c>
      <c r="F13" s="116" t="s">
        <v>100</v>
      </c>
      <c r="G13" s="127">
        <f>42000*'Units conversion'!B2/5/10000</f>
        <v>0.1386</v>
      </c>
      <c r="H13" s="156">
        <v>58.540281811889706</v>
      </c>
      <c r="I13" s="157">
        <f t="shared" si="0"/>
        <v>2.3676004916643556E-3</v>
      </c>
      <c r="J13" s="116"/>
      <c r="K13" s="119" t="s">
        <v>107</v>
      </c>
      <c r="L13" s="122" t="s">
        <v>333</v>
      </c>
      <c r="M13" s="122" t="s">
        <v>643</v>
      </c>
      <c r="N13" s="116" t="s">
        <v>65</v>
      </c>
      <c r="O13" s="158">
        <f>120000/1000</f>
        <v>120</v>
      </c>
      <c r="P13" s="159">
        <v>204.5846900576889</v>
      </c>
      <c r="Q13" s="136">
        <f t="shared" si="1"/>
        <v>0.58655415498668217</v>
      </c>
      <c r="R13" s="116" t="s">
        <v>87</v>
      </c>
      <c r="S13" s="117" t="s">
        <v>337</v>
      </c>
      <c r="T13" s="111" t="s">
        <v>41</v>
      </c>
      <c r="U13" s="116" t="s">
        <v>117</v>
      </c>
      <c r="V13" s="116" t="s">
        <v>42</v>
      </c>
      <c r="W13" s="116">
        <f>15000/1000</f>
        <v>15</v>
      </c>
      <c r="X13" s="127">
        <v>48.534630058726087</v>
      </c>
      <c r="Y13" s="172">
        <f t="shared" si="2"/>
        <v>0.30905767658783534</v>
      </c>
      <c r="Z13" s="116" t="s">
        <v>89</v>
      </c>
      <c r="AA13" s="119" t="s">
        <v>43</v>
      </c>
      <c r="AB13" s="122" t="s">
        <v>234</v>
      </c>
      <c r="AC13" s="116"/>
      <c r="AD13" s="117" t="s">
        <v>56</v>
      </c>
      <c r="AE13" s="111" t="s">
        <v>396</v>
      </c>
      <c r="AF13" s="116" t="s">
        <v>397</v>
      </c>
      <c r="AG13" s="117"/>
      <c r="AH13" s="117"/>
      <c r="AI13" s="119" t="s">
        <v>395</v>
      </c>
    </row>
    <row r="14" spans="1:35" ht="27" customHeight="1" thickBot="1" x14ac:dyDescent="0.35">
      <c r="A14" s="161" t="s">
        <v>243</v>
      </c>
      <c r="G14" s="162">
        <f>SUM(G2:G13)</f>
        <v>39.086369230769229</v>
      </c>
      <c r="H14" s="163">
        <f>SUM(H2:H13)</f>
        <v>286.27158269928566</v>
      </c>
      <c r="I14" s="198">
        <f>G14/H14</f>
        <v>0.13653597350536728</v>
      </c>
      <c r="O14" s="162">
        <f>SUM(O9:O13)+SUM(O2:O7)</f>
        <v>212.93199999999999</v>
      </c>
      <c r="P14" s="163">
        <f>SUM(P9:P13)+SUM(P2:P7)</f>
        <v>1218.4349812477508</v>
      </c>
      <c r="Q14" s="197">
        <f>O14/P14</f>
        <v>0.17475860696476786</v>
      </c>
      <c r="R14" s="160"/>
      <c r="S14" s="160"/>
      <c r="T14" s="160"/>
      <c r="U14" s="160"/>
      <c r="V14" s="160"/>
      <c r="W14" s="169">
        <f>SUM(W2:W13)</f>
        <v>16.516999999999999</v>
      </c>
      <c r="X14" s="170">
        <f>SUM(X2:X13)</f>
        <v>165.00953489284521</v>
      </c>
      <c r="Y14" s="199">
        <f>W14/X14</f>
        <v>0.10009724596051918</v>
      </c>
    </row>
    <row r="15" spans="1:35" ht="27" customHeight="1" thickBot="1" x14ac:dyDescent="0.35"/>
    <row r="16" spans="1:35" ht="27" customHeight="1" x14ac:dyDescent="0.3">
      <c r="G16" s="164" t="s">
        <v>240</v>
      </c>
      <c r="H16" s="165">
        <f>H14+P14+X14</f>
        <v>1669.7160988398819</v>
      </c>
    </row>
    <row r="17" spans="7:8" ht="27" customHeight="1" x14ac:dyDescent="0.3">
      <c r="G17" s="166" t="s">
        <v>241</v>
      </c>
      <c r="H17" s="167">
        <f>G14+O14+W14</f>
        <v>268.53536923076922</v>
      </c>
    </row>
    <row r="18" spans="7:8" ht="27" customHeight="1" thickBot="1" x14ac:dyDescent="0.35">
      <c r="G18" s="168" t="s">
        <v>242</v>
      </c>
      <c r="H18" s="196">
        <f>H17/H16</f>
        <v>0.16082696298930549</v>
      </c>
    </row>
  </sheetData>
  <hyperlinks>
    <hyperlink ref="AA2" r:id="rId1" display="https://www.press.bmwgroup.com/global/article/detail/T0310907EN/raw-material-supplies-for-battery-cells:-bmw-group-sources-sustainable-cobalt-worth-around-100-million-euros-from-morocco" xr:uid="{00000000-0004-0000-0200-000001000000}"/>
    <hyperlink ref="S2" r:id="rId2" xr:uid="{00000000-0004-0000-0200-000003000000}"/>
    <hyperlink ref="K2" r:id="rId3" display="https://www.automotiveworld.com/news-releases/bmw-group-steps-up-sustainable-sourcing-of-lithium-for-battery-cell-production-to-ensure-rapid-e-mobility-expansion/_x000a_" xr:uid="{00000000-0004-0000-0200-000004000000}"/>
    <hyperlink ref="C2" r:id="rId4" display="https://www.automotiveworld.com/news-releases/bmw-group-steps-up-sustainable-sourcing-of-lithium-for-battery-cell-production-to-ensure-rapid-e-mobility-expansion/" xr:uid="{00000000-0004-0000-0200-000005000000}"/>
    <hyperlink ref="AA4" r:id="rId5" display="https://group.mercedes-benz.com/sustainability/human-rights/supply-chain/cobalt.html" xr:uid="{00000000-0004-0000-0200-000006000000}"/>
    <hyperlink ref="AA8" r:id="rId6" xr:uid="{00000000-0004-0000-0200-000009000000}"/>
    <hyperlink ref="AI4" r:id="rId7" display="https://group.mercedes-benz.com/company/news/memorandum-of-understanding-canada.html" xr:uid="{746DEF3A-4D46-4C1E-AE80-C85AAEC56754}"/>
    <hyperlink ref="S9" r:id="rId8" display="https://www.media.stellantis.com/em-en/corporate-communications/press/stellantis-signs-offtake-agreement-and-invests-in-alliance-nickel-for-battery-grade-nickel-and-cobalt-sulphate" xr:uid="{8ADAE3EA-BF78-4522-854D-5911DD90A9E7}"/>
    <hyperlink ref="AA9" r:id="rId9" display="https://www.media.stellantis.com/em-en/corporate-communications/press/stellantis-signs-offtake-agreement-and-invests-in-alliance-nickel-for-battery-grade-nickel-and-cobalt-sulphate" xr:uid="{5711031E-649D-4CBA-A4DD-39D886844163}"/>
    <hyperlink ref="AD9" r:id="rId10" display="https://www.stellantis.com/en/news/press-releases/2023/january/stellantis-signs-binding-agreement-with-element-25-limited-for-manganese-sulphate-supply-for-electric-vehicle-batteries" xr:uid="{9432F2AD-8C74-4E11-817D-65B87250608C}"/>
    <hyperlink ref="C4" r:id="rId11" xr:uid="{9DF3CF75-1E25-40DF-B4B0-D779C27C7B90}"/>
    <hyperlink ref="S8" r:id="rId12" display="https://www.terrafame.com/newsroom/news/terrafame-and-renault-group-agree-on-long-term-supply-of-sustainable-nickel-sulphate.html" xr:uid="{CF5744F8-8C43-4FE3-9F1A-DFFB87B1540F}"/>
    <hyperlink ref="C9" r:id="rId13" xr:uid="{8ADF07D1-413F-4355-871E-67C9C25689F1}"/>
    <hyperlink ref="C10" r:id="rId14" xr:uid="{345B5934-60D5-4A2C-AF76-70AEAAA48402}"/>
    <hyperlink ref="AI3" r:id="rId15" display="http://www.cnchemicals.com/Detail/Readonline.aspx?id=8092&amp;type=n&amp;cid=20879692270" xr:uid="{BDEDF3DD-FB61-4F19-B358-EAC8CCF0E944}"/>
    <hyperlink ref="S3" r:id="rId16" xr:uid="{456B724F-F8F8-43AB-94B8-1936A02EAB7B}"/>
  </hyperlinks>
  <pageMargins left="0.7" right="0.7" top="0.75" bottom="0.75" header="0.3" footer="0.3"/>
  <pageSetup paperSize="9"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5798-E0DE-432C-A5CC-6C92DDD79277}">
  <sheetPr>
    <tabColor theme="8" tint="0.79998168889431442"/>
  </sheetPr>
  <dimension ref="A1:F6"/>
  <sheetViews>
    <sheetView showGridLines="0" workbookViewId="0">
      <selection activeCell="E17" sqref="E17"/>
    </sheetView>
  </sheetViews>
  <sheetFormatPr defaultRowHeight="14.4" x14ac:dyDescent="0.3"/>
  <cols>
    <col min="1" max="1" width="31.21875" customWidth="1"/>
    <col min="2" max="2" width="12.109375" customWidth="1"/>
  </cols>
  <sheetData>
    <row r="1" spans="1:6" x14ac:dyDescent="0.3">
      <c r="A1" s="4" t="s">
        <v>72</v>
      </c>
      <c r="B1" s="5" t="s">
        <v>693</v>
      </c>
      <c r="C1" s="6"/>
      <c r="D1" s="3"/>
      <c r="E1" s="3"/>
      <c r="F1" s="3"/>
    </row>
    <row r="2" spans="1:6" x14ac:dyDescent="0.3">
      <c r="A2" s="7" t="s">
        <v>73</v>
      </c>
      <c r="B2" s="8">
        <v>0.16500000000000001</v>
      </c>
      <c r="C2" s="6"/>
      <c r="D2" s="3"/>
      <c r="E2" s="3"/>
      <c r="F2" s="3"/>
    </row>
    <row r="3" spans="1:6" x14ac:dyDescent="0.3">
      <c r="A3" s="7" t="s">
        <v>74</v>
      </c>
      <c r="B3" s="9">
        <v>0.188</v>
      </c>
      <c r="C3" s="6"/>
      <c r="D3" s="3"/>
      <c r="E3" s="3"/>
      <c r="F3" s="3"/>
    </row>
    <row r="4" spans="1:6" x14ac:dyDescent="0.3">
      <c r="A4" s="7" t="s">
        <v>692</v>
      </c>
      <c r="B4" s="8">
        <f>6%*0.465</f>
        <v>2.7900000000000001E-2</v>
      </c>
      <c r="C4" s="12"/>
    </row>
    <row r="5" spans="1:6" x14ac:dyDescent="0.3">
      <c r="A5" s="7" t="s">
        <v>84</v>
      </c>
      <c r="B5" s="8">
        <v>0.223</v>
      </c>
    </row>
    <row r="6" spans="1:6" x14ac:dyDescent="0.3">
      <c r="A6" s="7" t="s">
        <v>88</v>
      </c>
      <c r="B6" s="8">
        <v>0.20499999999999999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B47F0-0ABE-463D-A663-348DF73679B2}">
  <sheetPr>
    <tabColor theme="9"/>
  </sheetPr>
  <dimension ref="B1:K16"/>
  <sheetViews>
    <sheetView showGridLines="0" workbookViewId="0">
      <selection activeCell="O13" sqref="O13"/>
    </sheetView>
  </sheetViews>
  <sheetFormatPr defaultRowHeight="14.4" x14ac:dyDescent="0.3"/>
  <cols>
    <col min="1" max="1" width="1.6640625" customWidth="1"/>
    <col min="2" max="2" width="21.77734375" customWidth="1"/>
    <col min="3" max="3" width="27.77734375" customWidth="1"/>
    <col min="4" max="4" width="16.21875" customWidth="1"/>
    <col min="5" max="5" width="12.5546875" customWidth="1"/>
    <col min="6" max="7" width="15.21875" customWidth="1"/>
    <col min="8" max="8" width="14.33203125" customWidth="1"/>
    <col min="9" max="9" width="30" customWidth="1"/>
    <col min="10" max="10" width="13.5546875" customWidth="1"/>
    <col min="11" max="11" width="13.88671875" customWidth="1"/>
  </cols>
  <sheetData>
    <row r="1" spans="2:11" ht="15" thickBot="1" x14ac:dyDescent="0.35"/>
    <row r="2" spans="2:11" ht="63" customHeight="1" thickBot="1" x14ac:dyDescent="0.35">
      <c r="B2" s="54" t="s">
        <v>0</v>
      </c>
      <c r="C2" s="55" t="s">
        <v>258</v>
      </c>
      <c r="D2" s="56" t="s">
        <v>649</v>
      </c>
      <c r="E2" s="55" t="s">
        <v>665</v>
      </c>
      <c r="F2" s="87" t="s">
        <v>681</v>
      </c>
      <c r="G2" s="59" t="s">
        <v>678</v>
      </c>
      <c r="H2" s="56" t="s">
        <v>666</v>
      </c>
      <c r="I2" s="55" t="s">
        <v>214</v>
      </c>
      <c r="J2" s="56" t="s">
        <v>648</v>
      </c>
      <c r="K2" s="60" t="s">
        <v>662</v>
      </c>
    </row>
    <row r="3" spans="2:11" ht="21" x14ac:dyDescent="0.3">
      <c r="B3" s="61" t="s">
        <v>290</v>
      </c>
      <c r="C3" s="84" t="s">
        <v>453</v>
      </c>
      <c r="D3" s="82">
        <v>15</v>
      </c>
      <c r="E3" s="91">
        <v>2</v>
      </c>
      <c r="F3" s="88">
        <v>2</v>
      </c>
      <c r="G3" s="272">
        <v>1</v>
      </c>
      <c r="H3" s="95">
        <v>5</v>
      </c>
      <c r="I3" s="84" t="s">
        <v>456</v>
      </c>
      <c r="J3" s="94">
        <v>5</v>
      </c>
      <c r="K3" s="101">
        <v>25</v>
      </c>
    </row>
    <row r="4" spans="2:11" ht="43.2" x14ac:dyDescent="0.3">
      <c r="B4" s="61" t="s">
        <v>7</v>
      </c>
      <c r="C4" s="85" t="s">
        <v>439</v>
      </c>
      <c r="D4" s="81">
        <v>15</v>
      </c>
      <c r="E4" s="91">
        <v>2</v>
      </c>
      <c r="F4" s="88">
        <v>2</v>
      </c>
      <c r="G4" s="272">
        <v>0</v>
      </c>
      <c r="H4" s="95">
        <v>4</v>
      </c>
      <c r="I4" s="85" t="s">
        <v>478</v>
      </c>
      <c r="J4" s="95">
        <v>5</v>
      </c>
      <c r="K4" s="102">
        <v>24</v>
      </c>
    </row>
    <row r="5" spans="2:11" ht="57.6" x14ac:dyDescent="0.3">
      <c r="B5" s="63" t="s">
        <v>10</v>
      </c>
      <c r="C5" s="85" t="s">
        <v>452</v>
      </c>
      <c r="D5" s="81">
        <v>15</v>
      </c>
      <c r="E5" s="91">
        <v>5.9426641287245766E-4</v>
      </c>
      <c r="F5" s="88">
        <v>1</v>
      </c>
      <c r="G5" s="272">
        <v>0</v>
      </c>
      <c r="H5" s="95">
        <v>1.0005942664128724</v>
      </c>
      <c r="I5" s="98" t="s">
        <v>480</v>
      </c>
      <c r="J5" s="95">
        <v>5</v>
      </c>
      <c r="K5" s="102">
        <v>21.000594266412872</v>
      </c>
    </row>
    <row r="6" spans="2:11" ht="57.6" x14ac:dyDescent="0.3">
      <c r="B6" s="63" t="s">
        <v>4</v>
      </c>
      <c r="C6" s="85" t="s">
        <v>424</v>
      </c>
      <c r="D6" s="81">
        <v>15</v>
      </c>
      <c r="E6" s="91">
        <v>0</v>
      </c>
      <c r="F6" s="88">
        <v>1</v>
      </c>
      <c r="G6" s="272">
        <v>0</v>
      </c>
      <c r="H6" s="95">
        <v>1</v>
      </c>
      <c r="I6" s="98" t="s">
        <v>670</v>
      </c>
      <c r="J6" s="95">
        <v>4</v>
      </c>
      <c r="K6" s="102">
        <v>20</v>
      </c>
    </row>
    <row r="7" spans="2:11" ht="57.6" x14ac:dyDescent="0.3">
      <c r="B7" s="63" t="s">
        <v>8</v>
      </c>
      <c r="C7" s="85" t="s">
        <v>445</v>
      </c>
      <c r="D7" s="81">
        <v>15</v>
      </c>
      <c r="E7" s="91">
        <v>0</v>
      </c>
      <c r="F7" s="88">
        <v>2</v>
      </c>
      <c r="G7" s="272">
        <v>0</v>
      </c>
      <c r="H7" s="95">
        <v>2</v>
      </c>
      <c r="I7" s="98" t="s">
        <v>636</v>
      </c>
      <c r="J7" s="95">
        <v>2</v>
      </c>
      <c r="K7" s="102">
        <v>19</v>
      </c>
    </row>
    <row r="8" spans="2:11" ht="57.6" x14ac:dyDescent="0.3">
      <c r="B8" s="63" t="s">
        <v>11</v>
      </c>
      <c r="C8" s="85" t="s">
        <v>427</v>
      </c>
      <c r="D8" s="81">
        <v>10</v>
      </c>
      <c r="E8" s="91">
        <v>0</v>
      </c>
      <c r="F8" s="88">
        <v>1</v>
      </c>
      <c r="G8" s="272">
        <v>0</v>
      </c>
      <c r="H8" s="95">
        <v>1</v>
      </c>
      <c r="I8" s="98" t="s">
        <v>476</v>
      </c>
      <c r="J8" s="95">
        <v>5</v>
      </c>
      <c r="K8" s="102">
        <v>16</v>
      </c>
    </row>
    <row r="9" spans="2:11" ht="40.799999999999997" customHeight="1" x14ac:dyDescent="0.3">
      <c r="B9" s="63" t="s">
        <v>6</v>
      </c>
      <c r="C9" s="85" t="s">
        <v>433</v>
      </c>
      <c r="D9" s="81">
        <v>10</v>
      </c>
      <c r="E9" s="91">
        <v>0</v>
      </c>
      <c r="F9" s="88">
        <v>1</v>
      </c>
      <c r="G9" s="272">
        <v>0</v>
      </c>
      <c r="H9" s="95">
        <v>1</v>
      </c>
      <c r="I9" s="98" t="s">
        <v>477</v>
      </c>
      <c r="J9" s="95">
        <v>4</v>
      </c>
      <c r="K9" s="102">
        <v>15</v>
      </c>
    </row>
    <row r="10" spans="2:11" ht="46.2" customHeight="1" x14ac:dyDescent="0.3">
      <c r="B10" s="63" t="s">
        <v>5</v>
      </c>
      <c r="C10" s="85" t="s">
        <v>431</v>
      </c>
      <c r="D10" s="81">
        <v>10</v>
      </c>
      <c r="E10" s="91">
        <v>0</v>
      </c>
      <c r="F10" s="88">
        <v>1</v>
      </c>
      <c r="G10" s="272">
        <v>0</v>
      </c>
      <c r="H10" s="95">
        <v>1</v>
      </c>
      <c r="I10" s="98" t="s">
        <v>483</v>
      </c>
      <c r="J10" s="95">
        <v>4</v>
      </c>
      <c r="K10" s="102">
        <v>15</v>
      </c>
    </row>
    <row r="11" spans="2:11" ht="39.6" customHeight="1" x14ac:dyDescent="0.3">
      <c r="B11" s="63" t="s">
        <v>1</v>
      </c>
      <c r="C11" s="85" t="s">
        <v>402</v>
      </c>
      <c r="D11" s="81">
        <v>10</v>
      </c>
      <c r="E11" s="91">
        <v>0</v>
      </c>
      <c r="F11" s="88">
        <v>1</v>
      </c>
      <c r="G11" s="272">
        <v>0</v>
      </c>
      <c r="H11" s="95">
        <v>1</v>
      </c>
      <c r="I11" s="98" t="s">
        <v>639</v>
      </c>
      <c r="J11" s="95">
        <v>2</v>
      </c>
      <c r="K11" s="244">
        <v>13</v>
      </c>
    </row>
    <row r="12" spans="2:11" ht="43.2" x14ac:dyDescent="0.3">
      <c r="B12" s="63" t="s">
        <v>2</v>
      </c>
      <c r="C12" s="85" t="s">
        <v>412</v>
      </c>
      <c r="D12" s="81">
        <v>10</v>
      </c>
      <c r="E12" s="91">
        <v>0</v>
      </c>
      <c r="F12" s="88">
        <v>1</v>
      </c>
      <c r="G12" s="272">
        <v>0</v>
      </c>
      <c r="H12" s="95">
        <v>1</v>
      </c>
      <c r="I12" s="98" t="s">
        <v>473</v>
      </c>
      <c r="J12" s="95">
        <v>2</v>
      </c>
      <c r="K12" s="244">
        <v>13</v>
      </c>
    </row>
    <row r="13" spans="2:11" ht="43.2" x14ac:dyDescent="0.3">
      <c r="B13" s="63" t="s">
        <v>3</v>
      </c>
      <c r="C13" s="85" t="s">
        <v>420</v>
      </c>
      <c r="D13" s="81">
        <v>10</v>
      </c>
      <c r="E13" s="91">
        <v>0</v>
      </c>
      <c r="F13" s="88">
        <v>1</v>
      </c>
      <c r="G13" s="272">
        <v>0</v>
      </c>
      <c r="H13" s="95">
        <v>1</v>
      </c>
      <c r="I13" s="98" t="s">
        <v>475</v>
      </c>
      <c r="J13" s="95">
        <v>2</v>
      </c>
      <c r="K13" s="244">
        <v>13</v>
      </c>
    </row>
    <row r="14" spans="2:11" ht="43.8" thickBot="1" x14ac:dyDescent="0.35">
      <c r="B14" s="65" t="s">
        <v>9</v>
      </c>
      <c r="C14" s="86" t="s">
        <v>449</v>
      </c>
      <c r="D14" s="83">
        <v>10</v>
      </c>
      <c r="E14" s="92">
        <v>0</v>
      </c>
      <c r="F14" s="93">
        <v>1</v>
      </c>
      <c r="G14" s="273">
        <v>0</v>
      </c>
      <c r="H14" s="96">
        <v>1</v>
      </c>
      <c r="I14" s="99" t="s">
        <v>479</v>
      </c>
      <c r="J14" s="96">
        <v>2</v>
      </c>
      <c r="K14" s="245">
        <v>13</v>
      </c>
    </row>
    <row r="16" spans="2:11" s="104" customFormat="1" x14ac:dyDescent="0.3">
      <c r="B16" s="105"/>
      <c r="C16" s="16"/>
      <c r="E16" s="16"/>
      <c r="F16" s="16"/>
      <c r="G16" s="16"/>
      <c r="I16" s="16"/>
    </row>
  </sheetData>
  <autoFilter ref="B2:K2" xr:uid="{6D4B47F0-0ABE-463D-A663-348DF73679B2}">
    <sortState xmlns:xlrd2="http://schemas.microsoft.com/office/spreadsheetml/2017/richdata2" ref="B3:K14">
      <sortCondition descending="1" ref="K2"/>
    </sortState>
  </autoFilter>
  <conditionalFormatting sqref="C3:I14">
    <cfRule type="cellIs" dxfId="17" priority="20" operator="equal">
      <formula>0</formula>
    </cfRule>
  </conditionalFormatting>
  <conditionalFormatting sqref="D3:D14">
    <cfRule type="colorScale" priority="21">
      <colorScale>
        <cfvo type="num" val="0"/>
        <cfvo type="num" val="15"/>
        <color rgb="FFFCFCFF"/>
        <color rgb="FF63BE7B"/>
      </colorScale>
    </cfRule>
  </conditionalFormatting>
  <conditionalFormatting sqref="K3:K14">
    <cfRule type="cellIs" dxfId="16" priority="18" operator="equal">
      <formula>0</formula>
    </cfRule>
    <cfRule type="colorScale" priority="19">
      <colorScale>
        <cfvo type="num" val="0"/>
        <cfvo type="num" val="25"/>
        <color rgb="FFFCFCFF"/>
        <color rgb="FF63BE7B"/>
      </colorScale>
    </cfRule>
  </conditionalFormatting>
  <conditionalFormatting sqref="H3:H14">
    <cfRule type="colorScale" priority="17">
      <colorScale>
        <cfvo type="num" val="0"/>
        <cfvo type="num" val="5"/>
        <color rgb="FFFCFCFF"/>
        <color rgb="FF63BE7B"/>
      </colorScale>
    </cfRule>
  </conditionalFormatting>
  <conditionalFormatting sqref="J3:J14">
    <cfRule type="colorScale" priority="3">
      <colorScale>
        <cfvo type="num" val="0"/>
        <cfvo type="num" val="5"/>
        <color rgb="FFFCFCFF"/>
        <color rgb="FF63BE7B"/>
      </colorScale>
    </cfRule>
    <cfRule type="cellIs" dxfId="15" priority="4"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K13"/>
  <sheetViews>
    <sheetView workbookViewId="0">
      <pane xSplit="1" ySplit="1" topLeftCell="B2" activePane="bottomRight" state="frozen"/>
      <selection pane="topRight" activeCell="B1" sqref="B1"/>
      <selection pane="bottomLeft" activeCell="A2" sqref="A2"/>
      <selection pane="bottomRight" activeCell="N5" sqref="N5"/>
    </sheetView>
  </sheetViews>
  <sheetFormatPr defaultRowHeight="40.799999999999997" customHeight="1" x14ac:dyDescent="0.3"/>
  <cols>
    <col min="1" max="9" width="15.77734375" customWidth="1"/>
    <col min="10" max="10" width="28.88671875" customWidth="1"/>
    <col min="11" max="11" width="15.77734375" customWidth="1"/>
    <col min="12" max="16384" width="8.88671875" style="69"/>
  </cols>
  <sheetData>
    <row r="1" spans="1:11" ht="58.2" customHeight="1" thickBot="1" x14ac:dyDescent="0.35">
      <c r="A1" s="70" t="s">
        <v>0</v>
      </c>
      <c r="B1" s="33" t="s">
        <v>487</v>
      </c>
      <c r="C1" s="33" t="s">
        <v>95</v>
      </c>
      <c r="D1" s="33" t="s">
        <v>486</v>
      </c>
      <c r="E1" s="33" t="s">
        <v>95</v>
      </c>
      <c r="F1" s="33" t="s">
        <v>414</v>
      </c>
      <c r="G1" s="33" t="s">
        <v>95</v>
      </c>
      <c r="H1" s="33" t="s">
        <v>404</v>
      </c>
      <c r="I1" s="31" t="s">
        <v>95</v>
      </c>
      <c r="J1" s="70" t="s">
        <v>401</v>
      </c>
      <c r="K1" s="74" t="s">
        <v>650</v>
      </c>
    </row>
    <row r="2" spans="1:11" ht="79.95" customHeight="1" x14ac:dyDescent="0.3">
      <c r="A2" s="113" t="s">
        <v>290</v>
      </c>
      <c r="B2" s="114" t="s">
        <v>454</v>
      </c>
      <c r="C2" s="259" t="s">
        <v>457</v>
      </c>
      <c r="D2" s="114"/>
      <c r="E2" s="114"/>
      <c r="F2" s="114"/>
      <c r="G2" s="114"/>
      <c r="H2" s="114"/>
      <c r="I2" s="115"/>
      <c r="J2" s="113" t="s">
        <v>453</v>
      </c>
      <c r="K2" s="75">
        <v>15</v>
      </c>
    </row>
    <row r="3" spans="1:11" ht="79.95" customHeight="1" x14ac:dyDescent="0.3">
      <c r="A3" s="26" t="s">
        <v>4</v>
      </c>
      <c r="B3" s="24" t="s">
        <v>421</v>
      </c>
      <c r="C3" s="260" t="s">
        <v>122</v>
      </c>
      <c r="D3" s="262"/>
      <c r="E3" s="24"/>
      <c r="F3" s="24"/>
      <c r="G3" s="24"/>
      <c r="H3" s="24" t="s">
        <v>423</v>
      </c>
      <c r="I3" s="25" t="s">
        <v>422</v>
      </c>
      <c r="J3" s="26" t="s">
        <v>424</v>
      </c>
      <c r="K3" s="112">
        <v>15</v>
      </c>
    </row>
    <row r="4" spans="1:11" ht="79.95" customHeight="1" x14ac:dyDescent="0.3">
      <c r="A4" s="211" t="s">
        <v>7</v>
      </c>
      <c r="B4" s="1" t="s">
        <v>494</v>
      </c>
      <c r="C4" s="1" t="s">
        <v>496</v>
      </c>
      <c r="D4" s="1" t="s">
        <v>495</v>
      </c>
      <c r="E4" s="260" t="s">
        <v>497</v>
      </c>
      <c r="F4" s="1" t="s">
        <v>437</v>
      </c>
      <c r="G4" s="1" t="s">
        <v>438</v>
      </c>
      <c r="H4" s="1" t="s">
        <v>435</v>
      </c>
      <c r="I4" s="17" t="s">
        <v>436</v>
      </c>
      <c r="J4" s="19" t="s">
        <v>439</v>
      </c>
      <c r="K4" s="76">
        <v>15</v>
      </c>
    </row>
    <row r="5" spans="1:11" ht="79.95" customHeight="1" x14ac:dyDescent="0.3">
      <c r="A5" s="19" t="s">
        <v>8</v>
      </c>
      <c r="B5" s="1" t="s">
        <v>499</v>
      </c>
      <c r="C5" s="1" t="s">
        <v>500</v>
      </c>
      <c r="D5" s="1" t="s">
        <v>440</v>
      </c>
      <c r="E5" s="1" t="s">
        <v>501</v>
      </c>
      <c r="F5" s="1" t="s">
        <v>442</v>
      </c>
      <c r="G5" s="1" t="s">
        <v>441</v>
      </c>
      <c r="H5" s="1" t="s">
        <v>443</v>
      </c>
      <c r="I5" s="17" t="s">
        <v>444</v>
      </c>
      <c r="J5" s="19" t="s">
        <v>445</v>
      </c>
      <c r="K5" s="76">
        <v>15</v>
      </c>
    </row>
    <row r="6" spans="1:11" ht="79.95" customHeight="1" x14ac:dyDescent="0.3">
      <c r="A6" s="19" t="s">
        <v>10</v>
      </c>
      <c r="B6" s="1" t="s">
        <v>502</v>
      </c>
      <c r="C6" s="261" t="s">
        <v>504</v>
      </c>
      <c r="D6" s="261" t="s">
        <v>503</v>
      </c>
      <c r="E6" s="261" t="s">
        <v>505</v>
      </c>
      <c r="F6" s="1" t="s">
        <v>450</v>
      </c>
      <c r="G6" s="1" t="s">
        <v>451</v>
      </c>
      <c r="H6" s="265"/>
      <c r="I6" s="17"/>
      <c r="J6" s="19" t="s">
        <v>452</v>
      </c>
      <c r="K6" s="76">
        <v>15</v>
      </c>
    </row>
    <row r="7" spans="1:11" ht="79.95" customHeight="1" x14ac:dyDescent="0.3">
      <c r="A7" s="19" t="s">
        <v>1</v>
      </c>
      <c r="B7" s="1"/>
      <c r="C7" s="1"/>
      <c r="D7" s="1" t="s">
        <v>488</v>
      </c>
      <c r="E7" s="260" t="s">
        <v>489</v>
      </c>
      <c r="F7" s="1" t="s">
        <v>405</v>
      </c>
      <c r="G7" s="1" t="s">
        <v>403</v>
      </c>
      <c r="H7" s="1" t="s">
        <v>406</v>
      </c>
      <c r="I7" s="17" t="s">
        <v>330</v>
      </c>
      <c r="J7" s="19" t="s">
        <v>402</v>
      </c>
      <c r="K7" s="76">
        <v>10</v>
      </c>
    </row>
    <row r="8" spans="1:11" ht="79.95" customHeight="1" x14ac:dyDescent="0.3">
      <c r="A8" s="19" t="s">
        <v>2</v>
      </c>
      <c r="B8" s="1" t="s">
        <v>498</v>
      </c>
      <c r="C8" s="1" t="s">
        <v>490</v>
      </c>
      <c r="D8" s="1" t="s">
        <v>407</v>
      </c>
      <c r="E8" s="263" t="s">
        <v>121</v>
      </c>
      <c r="F8" s="1" t="s">
        <v>410</v>
      </c>
      <c r="G8" s="1" t="s">
        <v>411</v>
      </c>
      <c r="H8" s="1" t="s">
        <v>408</v>
      </c>
      <c r="I8" s="17" t="s">
        <v>409</v>
      </c>
      <c r="J8" s="19" t="s">
        <v>412</v>
      </c>
      <c r="K8" s="76">
        <v>10</v>
      </c>
    </row>
    <row r="9" spans="1:11" ht="79.95" customHeight="1" x14ac:dyDescent="0.3">
      <c r="A9" s="19" t="s">
        <v>3</v>
      </c>
      <c r="B9" s="1"/>
      <c r="C9" s="1"/>
      <c r="D9" s="1" t="s">
        <v>417</v>
      </c>
      <c r="E9" s="1" t="s">
        <v>418</v>
      </c>
      <c r="F9" s="1" t="s">
        <v>419</v>
      </c>
      <c r="G9" s="1" t="s">
        <v>355</v>
      </c>
      <c r="H9" s="1" t="s">
        <v>416</v>
      </c>
      <c r="I9" s="17" t="s">
        <v>413</v>
      </c>
      <c r="J9" s="19" t="s">
        <v>420</v>
      </c>
      <c r="K9" s="76">
        <v>10</v>
      </c>
    </row>
    <row r="10" spans="1:11" ht="79.95" customHeight="1" x14ac:dyDescent="0.3">
      <c r="A10" s="19" t="s">
        <v>11</v>
      </c>
      <c r="B10" s="1"/>
      <c r="C10" s="1"/>
      <c r="D10" s="1" t="s">
        <v>491</v>
      </c>
      <c r="E10" s="264" t="s">
        <v>492</v>
      </c>
      <c r="F10" s="1" t="s">
        <v>13</v>
      </c>
      <c r="G10" s="1" t="s">
        <v>12</v>
      </c>
      <c r="H10" s="1" t="s">
        <v>426</v>
      </c>
      <c r="I10" s="17" t="s">
        <v>425</v>
      </c>
      <c r="J10" s="19" t="s">
        <v>427</v>
      </c>
      <c r="K10" s="76">
        <v>10</v>
      </c>
    </row>
    <row r="11" spans="1:11" ht="79.95" customHeight="1" x14ac:dyDescent="0.3">
      <c r="A11" s="19" t="s">
        <v>5</v>
      </c>
      <c r="B11" s="1"/>
      <c r="C11" s="1"/>
      <c r="D11" s="1" t="s">
        <v>236</v>
      </c>
      <c r="E11" s="1" t="s">
        <v>237</v>
      </c>
      <c r="F11" s="1" t="s">
        <v>428</v>
      </c>
      <c r="G11" s="1" t="s">
        <v>238</v>
      </c>
      <c r="H11" s="1" t="s">
        <v>429</v>
      </c>
      <c r="I11" s="17" t="s">
        <v>430</v>
      </c>
      <c r="J11" s="19" t="s">
        <v>431</v>
      </c>
      <c r="K11" s="76">
        <v>10</v>
      </c>
    </row>
    <row r="12" spans="1:11" ht="79.95" customHeight="1" x14ac:dyDescent="0.3">
      <c r="A12" s="19" t="s">
        <v>6</v>
      </c>
      <c r="B12" s="1"/>
      <c r="C12" s="1"/>
      <c r="D12" s="1" t="s">
        <v>493</v>
      </c>
      <c r="E12" s="1" t="s">
        <v>432</v>
      </c>
      <c r="F12" s="1" t="s">
        <v>406</v>
      </c>
      <c r="G12" s="1" t="s">
        <v>123</v>
      </c>
      <c r="H12" s="1" t="s">
        <v>434</v>
      </c>
      <c r="I12" s="260" t="s">
        <v>124</v>
      </c>
      <c r="J12" s="19" t="s">
        <v>433</v>
      </c>
      <c r="K12" s="76">
        <v>10</v>
      </c>
    </row>
    <row r="13" spans="1:11" ht="79.95" customHeight="1" thickBot="1" x14ac:dyDescent="0.35">
      <c r="A13" s="111" t="s">
        <v>9</v>
      </c>
      <c r="B13" s="116"/>
      <c r="C13" s="116"/>
      <c r="D13" s="116" t="s">
        <v>127</v>
      </c>
      <c r="E13" s="116" t="s">
        <v>125</v>
      </c>
      <c r="F13" s="116" t="s">
        <v>448</v>
      </c>
      <c r="G13" s="116" t="s">
        <v>126</v>
      </c>
      <c r="H13" s="116" t="s">
        <v>447</v>
      </c>
      <c r="I13" s="266" t="s">
        <v>446</v>
      </c>
      <c r="J13" s="111" t="s">
        <v>449</v>
      </c>
      <c r="K13" s="77">
        <v>10</v>
      </c>
    </row>
  </sheetData>
  <autoFilter ref="A1:K13" xr:uid="{00000000-0001-0000-0300-000000000000}">
    <sortState xmlns:xlrd2="http://schemas.microsoft.com/office/spreadsheetml/2017/richdata2" ref="A2:K13">
      <sortCondition descending="1" ref="K1:K13"/>
    </sortState>
  </autoFilter>
  <conditionalFormatting sqref="K2:K13">
    <cfRule type="colorScale" priority="1">
      <colorScale>
        <cfvo type="num" val="0"/>
        <cfvo type="num" val="15"/>
        <color rgb="FFFCFCFF"/>
        <color rgb="FF63BE7B"/>
      </colorScale>
    </cfRule>
  </conditionalFormatting>
  <hyperlinks>
    <hyperlink ref="I12" r:id="rId1" display="https://www.stellantis.com/content/dam/stellantis-corporate/investors/events/stellantis-ev-day-2021/ev_day_2021_presentation_slides.pdf" xr:uid="{00000000-0004-0000-0300-000000000000}"/>
    <hyperlink ref="G13" r:id="rId2" xr:uid="{00000000-0004-0000-0300-000002000000}"/>
    <hyperlink ref="C3" r:id="rId3" xr:uid="{D7BC325F-F1CC-4320-8F4D-7F95FFB397A0}"/>
    <hyperlink ref="E7" r:id="rId4" display="https://europe.autonews.com/suppliers/vw-bmw-invest-swedish-battery-cell-producer-northvolt" xr:uid="{60D3B752-47F6-42DC-871C-8CF89C526EC6}"/>
    <hyperlink ref="C8" r:id="rId5" display="https://europe.autonews.com/automakers/ford-said-favor-lg-over-sk-turkey-battery-plant" xr:uid="{C0226625-6BA5-4DCA-8C8B-3396880C164D}"/>
    <hyperlink ref="G8" r:id="rId6" display="https://www.catl.com/en/news/968.html" xr:uid="{10C5C130-1B3A-46F9-93F9-FB51EA491FD9}"/>
    <hyperlink ref="G9" r:id="rId7" display="https://www.hyundai.com/worldwide/en/company/newsroom/hyundai-motor-group%2C-sk-innovation-to-collaborate-on-development-of-ev-battery-industry-ecosystem-0000016517" xr:uid="{BE0C111C-AE71-463C-906F-6BBBC5B8595D}"/>
    <hyperlink ref="I9" r:id="rId8" display="https://www.electrive.com/2020/04/24/lg-chem-secures-ehalf-a-billion-for-polish-factory-expansion/" xr:uid="{ED659E67-67A1-44E1-B146-5C4E300C2C38}"/>
    <hyperlink ref="I3" r:id="rId9" display="https://www.koreatimes.co.kr/www/tech/2023/07/129_255094.html" xr:uid="{0A626269-9CBF-457F-ABBC-2F688DCA35AF}"/>
    <hyperlink ref="C5" r:id="rId10" display="https://global.toyota/en/newsroom/corporate/37964997.html" xr:uid="{90D61379-E8C7-4A8C-935A-E7AF04AE60C1}"/>
    <hyperlink ref="G5" r:id="rId11" display="https://global.toyota/en/newsroom/corporate/28913488.html?adid=ag478_mail&amp;padid=ag478_mail" xr:uid="{4F4C9278-4FD6-4FAC-821F-E488E6A4F694}"/>
    <hyperlink ref="E6" r:id="rId12" display="https://www.volkswagen-newsroom.com/en/press-releases/volkswagen-invests-a-further-500-million-in-sustainable-battery-activities-with-northvolt-ab-7246" xr:uid="{F824D38B-2A61-473F-829F-006ECBFAE877}"/>
    <hyperlink ref="G6" r:id="rId13" display="https://uploads.vw-mms.de/system/production/files/vwn/014/540/file/26892c5d4e8b1d337a52b3c105314245ef463203/Background_Volkswagen_Group_s_battery_strategy.pdf" xr:uid="{6A40C877-B381-44D4-B36A-E3C9EAC46F1F}"/>
    <hyperlink ref="E11" r:id="rId14" xr:uid="{444E5DE6-8619-40E7-8C19-C261A105974B}"/>
    <hyperlink ref="C4" r:id="rId15" display="https://www.reuters.com/technology/tesla-scales-back-german-battery-plans-won-over-by-us-incentives-2023-02-21/" xr:uid="{DD3EAC13-A9CC-4EB6-909D-0529BE8C6B9F}"/>
    <hyperlink ref="G4" r:id="rId16" display="https://www.reuters.com/article/us-tesla-china-catl-idINKBN1ZT16G" xr:uid="{3934C0FA-682E-4885-941D-EAF3494EA0D3}"/>
    <hyperlink ref="I7" r:id="rId17" xr:uid="{B6917561-992F-449A-98FA-355EFD809C5A}"/>
  </hyperlinks>
  <pageMargins left="0.7" right="0.7" top="0.75" bottom="0.75" header="0.3" footer="0.3"/>
  <pageSetup paperSize="9" orientation="portrait" r:id="rId1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B4A6-D8E2-4E75-A483-5197B05BEE09}">
  <sheetPr>
    <tabColor theme="9" tint="0.79998168889431442"/>
  </sheetPr>
  <dimension ref="A1:I14"/>
  <sheetViews>
    <sheetView workbookViewId="0">
      <pane xSplit="1" ySplit="1" topLeftCell="B2" activePane="bottomRight" state="frozen"/>
      <selection pane="topRight" activeCell="B1" sqref="B1"/>
      <selection pane="bottomLeft" activeCell="A2" sqref="A2"/>
      <selection pane="bottomRight" activeCell="J3" sqref="J3"/>
    </sheetView>
  </sheetViews>
  <sheetFormatPr defaultRowHeight="14.4" x14ac:dyDescent="0.3"/>
  <cols>
    <col min="1" max="1" width="15.77734375" customWidth="1"/>
    <col min="2" max="3" width="22.88671875" customWidth="1"/>
    <col min="4" max="7" width="26.109375" customWidth="1"/>
    <col min="8" max="8" width="22" customWidth="1"/>
    <col min="9" max="9" width="15.77734375" customWidth="1"/>
  </cols>
  <sheetData>
    <row r="1" spans="1:9" ht="42" thickBot="1" x14ac:dyDescent="0.35">
      <c r="A1" s="124" t="s">
        <v>0</v>
      </c>
      <c r="B1" s="70" t="s">
        <v>653</v>
      </c>
      <c r="C1" s="71" t="s">
        <v>654</v>
      </c>
      <c r="D1" s="70" t="s">
        <v>484</v>
      </c>
      <c r="E1" s="71" t="s">
        <v>681</v>
      </c>
      <c r="F1" s="70" t="s">
        <v>677</v>
      </c>
      <c r="G1" s="71" t="s">
        <v>678</v>
      </c>
      <c r="H1" s="72" t="s">
        <v>95</v>
      </c>
      <c r="I1" s="74" t="s">
        <v>652</v>
      </c>
    </row>
    <row r="2" spans="1:9" ht="79.95" customHeight="1" x14ac:dyDescent="0.3">
      <c r="A2" s="123" t="s">
        <v>290</v>
      </c>
      <c r="B2" s="253">
        <v>0.93955110470272429</v>
      </c>
      <c r="C2" s="274">
        <f t="shared" ref="C2:C13" si="0">MIN(39%,B2)*2/39%</f>
        <v>2</v>
      </c>
      <c r="D2" s="26" t="s">
        <v>679</v>
      </c>
      <c r="E2" s="29">
        <v>2</v>
      </c>
      <c r="F2" s="26" t="s">
        <v>680</v>
      </c>
      <c r="G2" s="29">
        <v>1</v>
      </c>
      <c r="H2" s="30" t="s">
        <v>510</v>
      </c>
      <c r="I2" s="112">
        <f>E2+C2+G2</f>
        <v>5</v>
      </c>
    </row>
    <row r="3" spans="1:9" ht="79.95" customHeight="1" x14ac:dyDescent="0.3">
      <c r="A3" s="154" t="s">
        <v>7</v>
      </c>
      <c r="B3" s="255">
        <v>0.41056140141417163</v>
      </c>
      <c r="C3" s="275">
        <f t="shared" si="0"/>
        <v>2</v>
      </c>
      <c r="D3" s="19" t="s">
        <v>455</v>
      </c>
      <c r="E3" s="20">
        <v>2</v>
      </c>
      <c r="F3" s="19"/>
      <c r="G3" s="20">
        <v>0</v>
      </c>
      <c r="H3" s="18" t="s">
        <v>349</v>
      </c>
      <c r="I3" s="76">
        <f t="shared" ref="I3:I13" si="1">E3+C3+G3</f>
        <v>4</v>
      </c>
    </row>
    <row r="4" spans="1:9" ht="79.95" customHeight="1" x14ac:dyDescent="0.3">
      <c r="A4" s="121" t="s">
        <v>8</v>
      </c>
      <c r="B4" s="254">
        <v>0</v>
      </c>
      <c r="C4" s="275">
        <f t="shared" si="0"/>
        <v>0</v>
      </c>
      <c r="D4" s="19" t="s">
        <v>331</v>
      </c>
      <c r="E4" s="20">
        <v>2</v>
      </c>
      <c r="F4" s="19"/>
      <c r="G4" s="20">
        <v>0</v>
      </c>
      <c r="H4" s="18" t="s">
        <v>332</v>
      </c>
      <c r="I4" s="76">
        <f t="shared" si="1"/>
        <v>2</v>
      </c>
    </row>
    <row r="5" spans="1:9" ht="79.95" customHeight="1" x14ac:dyDescent="0.3">
      <c r="A5" s="121" t="s">
        <v>10</v>
      </c>
      <c r="B5" s="257">
        <v>1.1588195051012925E-4</v>
      </c>
      <c r="C5" s="276">
        <f t="shared" si="0"/>
        <v>5.9426641287245766E-4</v>
      </c>
      <c r="D5" s="19" t="s">
        <v>230</v>
      </c>
      <c r="E5" s="20">
        <v>1</v>
      </c>
      <c r="F5" s="19"/>
      <c r="G5" s="20">
        <v>0</v>
      </c>
      <c r="H5" s="18" t="s">
        <v>231</v>
      </c>
      <c r="I5" s="76">
        <f t="shared" si="1"/>
        <v>1.0005942664128724</v>
      </c>
    </row>
    <row r="6" spans="1:9" ht="79.95" customHeight="1" x14ac:dyDescent="0.3">
      <c r="A6" s="121" t="s">
        <v>1</v>
      </c>
      <c r="B6" s="254">
        <v>0</v>
      </c>
      <c r="C6" s="275">
        <f t="shared" si="0"/>
        <v>0</v>
      </c>
      <c r="D6" s="19" t="s">
        <v>136</v>
      </c>
      <c r="E6" s="20">
        <v>1</v>
      </c>
      <c r="F6" s="19"/>
      <c r="G6" s="20">
        <v>0</v>
      </c>
      <c r="H6" s="18" t="s">
        <v>137</v>
      </c>
      <c r="I6" s="76">
        <f t="shared" si="1"/>
        <v>1</v>
      </c>
    </row>
    <row r="7" spans="1:9" ht="79.95" customHeight="1" x14ac:dyDescent="0.3">
      <c r="A7" s="121" t="s">
        <v>2</v>
      </c>
      <c r="B7" s="254">
        <v>0</v>
      </c>
      <c r="C7" s="275">
        <f t="shared" si="0"/>
        <v>0</v>
      </c>
      <c r="D7" s="19" t="s">
        <v>130</v>
      </c>
      <c r="E7" s="20">
        <v>1</v>
      </c>
      <c r="F7" s="19"/>
      <c r="G7" s="20">
        <v>0</v>
      </c>
      <c r="H7" s="18" t="s">
        <v>129</v>
      </c>
      <c r="I7" s="76">
        <f t="shared" si="1"/>
        <v>1</v>
      </c>
    </row>
    <row r="8" spans="1:9" ht="79.95" customHeight="1" x14ac:dyDescent="0.3">
      <c r="A8" s="121" t="s">
        <v>3</v>
      </c>
      <c r="B8" s="254">
        <v>0</v>
      </c>
      <c r="C8" s="275">
        <f t="shared" si="0"/>
        <v>0</v>
      </c>
      <c r="D8" s="19" t="s">
        <v>131</v>
      </c>
      <c r="E8" s="20">
        <v>1</v>
      </c>
      <c r="F8" s="19"/>
      <c r="G8" s="20">
        <v>0</v>
      </c>
      <c r="H8" s="18" t="s">
        <v>415</v>
      </c>
      <c r="I8" s="76">
        <f t="shared" si="1"/>
        <v>1</v>
      </c>
    </row>
    <row r="9" spans="1:9" ht="79.95" customHeight="1" x14ac:dyDescent="0.3">
      <c r="A9" s="121" t="s">
        <v>4</v>
      </c>
      <c r="B9" s="254">
        <v>0</v>
      </c>
      <c r="C9" s="275">
        <f t="shared" si="0"/>
        <v>0</v>
      </c>
      <c r="D9" s="19" t="s">
        <v>485</v>
      </c>
      <c r="E9" s="20">
        <v>1</v>
      </c>
      <c r="F9" s="19"/>
      <c r="G9" s="20">
        <v>0</v>
      </c>
      <c r="H9" s="18" t="s">
        <v>132</v>
      </c>
      <c r="I9" s="76">
        <f t="shared" si="1"/>
        <v>1</v>
      </c>
    </row>
    <row r="10" spans="1:9" ht="79.95" customHeight="1" x14ac:dyDescent="0.3">
      <c r="A10" s="121" t="s">
        <v>11</v>
      </c>
      <c r="B10" s="254">
        <v>0</v>
      </c>
      <c r="C10" s="275">
        <f t="shared" si="0"/>
        <v>0</v>
      </c>
      <c r="D10" s="19" t="s">
        <v>506</v>
      </c>
      <c r="E10" s="20">
        <v>1</v>
      </c>
      <c r="F10" s="19"/>
      <c r="G10" s="20">
        <v>0</v>
      </c>
      <c r="H10" s="18" t="s">
        <v>128</v>
      </c>
      <c r="I10" s="76">
        <f t="shared" si="1"/>
        <v>1</v>
      </c>
    </row>
    <row r="11" spans="1:9" ht="79.95" customHeight="1" x14ac:dyDescent="0.3">
      <c r="A11" s="121" t="s">
        <v>5</v>
      </c>
      <c r="B11" s="254">
        <v>0</v>
      </c>
      <c r="C11" s="275">
        <f t="shared" si="0"/>
        <v>0</v>
      </c>
      <c r="D11" s="118" t="s">
        <v>133</v>
      </c>
      <c r="E11" s="120">
        <v>1</v>
      </c>
      <c r="F11" s="118"/>
      <c r="G11" s="120">
        <v>0</v>
      </c>
      <c r="H11" s="18" t="s">
        <v>507</v>
      </c>
      <c r="I11" s="76">
        <f t="shared" si="1"/>
        <v>1</v>
      </c>
    </row>
    <row r="12" spans="1:9" ht="79.95" customHeight="1" x14ac:dyDescent="0.3">
      <c r="A12" s="121" t="s">
        <v>6</v>
      </c>
      <c r="B12" s="254">
        <v>0</v>
      </c>
      <c r="C12" s="275">
        <f t="shared" si="0"/>
        <v>0</v>
      </c>
      <c r="D12" s="19" t="s">
        <v>302</v>
      </c>
      <c r="E12" s="20">
        <v>1</v>
      </c>
      <c r="F12" s="19"/>
      <c r="G12" s="20">
        <v>0</v>
      </c>
      <c r="H12" s="18" t="s">
        <v>281</v>
      </c>
      <c r="I12" s="76">
        <f t="shared" si="1"/>
        <v>1</v>
      </c>
    </row>
    <row r="13" spans="1:9" ht="79.95" customHeight="1" thickBot="1" x14ac:dyDescent="0.35">
      <c r="A13" s="155" t="s">
        <v>9</v>
      </c>
      <c r="B13" s="258">
        <v>0</v>
      </c>
      <c r="C13" s="277">
        <f t="shared" si="0"/>
        <v>0</v>
      </c>
      <c r="D13" s="111" t="s">
        <v>134</v>
      </c>
      <c r="E13" s="119">
        <v>1</v>
      </c>
      <c r="F13" s="111"/>
      <c r="G13" s="119">
        <v>0</v>
      </c>
      <c r="H13" s="122" t="s">
        <v>135</v>
      </c>
      <c r="I13" s="76">
        <f t="shared" si="1"/>
        <v>1</v>
      </c>
    </row>
    <row r="14" spans="1:9" ht="79.95" customHeight="1" x14ac:dyDescent="0.3"/>
  </sheetData>
  <autoFilter ref="A1:I13" xr:uid="{C06CB4A6-D8E2-4E75-A483-5197B05BEE09}">
    <sortState xmlns:xlrd2="http://schemas.microsoft.com/office/spreadsheetml/2017/richdata2" ref="A2:I13">
      <sortCondition descending="1" ref="I1:I13"/>
    </sortState>
  </autoFilter>
  <conditionalFormatting sqref="I2:I13">
    <cfRule type="colorScale" priority="1">
      <colorScale>
        <cfvo type="num" val="0"/>
        <cfvo type="num" val="5"/>
        <color rgb="FFFCFCFF"/>
        <color rgb="FF63BE7B"/>
      </colorScale>
    </cfRule>
  </conditionalFormatting>
  <hyperlinks>
    <hyperlink ref="H13" r:id="rId1" display="https://www.media.volvocars.com/global/en-gb/media/pressreleases/298545/volvo-cars-tech-fund-invests-in-battery-technology-pioneers-storedot" xr:uid="{ABD9F1F4-9C6E-4C31-9E1A-201201B4250F}"/>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G13"/>
  <sheetViews>
    <sheetView workbookViewId="0">
      <pane xSplit="1" ySplit="1" topLeftCell="B2" activePane="bottomRight" state="frozen"/>
      <selection pane="topRight" activeCell="B1" sqref="B1"/>
      <selection pane="bottomLeft" activeCell="A2" sqref="A2"/>
      <selection pane="bottomRight" activeCell="I8" sqref="I8"/>
    </sheetView>
  </sheetViews>
  <sheetFormatPr defaultColWidth="15.77734375" defaultRowHeight="45" customHeight="1" x14ac:dyDescent="0.3"/>
  <cols>
    <col min="2" max="2" width="37.44140625" customWidth="1"/>
    <col min="4" max="4" width="36.5546875" customWidth="1"/>
    <col min="8" max="16384" width="15.77734375" style="69"/>
  </cols>
  <sheetData>
    <row r="1" spans="1:7" ht="45" customHeight="1" thickBot="1" x14ac:dyDescent="0.35">
      <c r="A1" s="124" t="s">
        <v>0</v>
      </c>
      <c r="B1" s="70" t="s">
        <v>142</v>
      </c>
      <c r="C1" s="33" t="s">
        <v>95</v>
      </c>
      <c r="D1" s="33" t="s">
        <v>263</v>
      </c>
      <c r="E1" s="34" t="s">
        <v>95</v>
      </c>
      <c r="F1" s="33" t="s">
        <v>213</v>
      </c>
      <c r="G1" s="71" t="s">
        <v>625</v>
      </c>
    </row>
    <row r="2" spans="1:7" ht="105.6" customHeight="1" x14ac:dyDescent="0.3">
      <c r="A2" s="123" t="s">
        <v>290</v>
      </c>
      <c r="B2" s="113" t="s">
        <v>458</v>
      </c>
      <c r="C2" s="259" t="s">
        <v>459</v>
      </c>
      <c r="D2" s="114"/>
      <c r="E2" s="213"/>
      <c r="F2" s="113" t="s">
        <v>456</v>
      </c>
      <c r="G2" s="213">
        <v>5</v>
      </c>
    </row>
    <row r="3" spans="1:7" ht="79.95" customHeight="1" x14ac:dyDescent="0.3">
      <c r="A3" s="123" t="s">
        <v>11</v>
      </c>
      <c r="B3" s="26" t="s">
        <v>147</v>
      </c>
      <c r="C3" s="260" t="s">
        <v>146</v>
      </c>
      <c r="D3" s="24" t="s">
        <v>511</v>
      </c>
      <c r="E3" s="29" t="s">
        <v>512</v>
      </c>
      <c r="F3" s="26" t="s">
        <v>476</v>
      </c>
      <c r="G3" s="29">
        <v>5</v>
      </c>
    </row>
    <row r="4" spans="1:7" ht="79.95" customHeight="1" x14ac:dyDescent="0.3">
      <c r="A4" s="154" t="s">
        <v>7</v>
      </c>
      <c r="B4" s="19" t="s">
        <v>465</v>
      </c>
      <c r="C4" s="1" t="s">
        <v>466</v>
      </c>
      <c r="D4" s="1" t="s">
        <v>464</v>
      </c>
      <c r="E4" s="268" t="s">
        <v>307</v>
      </c>
      <c r="F4" s="19" t="s">
        <v>478</v>
      </c>
      <c r="G4" s="20">
        <v>5</v>
      </c>
    </row>
    <row r="5" spans="1:7" ht="79.95" customHeight="1" x14ac:dyDescent="0.3">
      <c r="A5" s="121" t="s">
        <v>10</v>
      </c>
      <c r="B5" s="19" t="s">
        <v>640</v>
      </c>
      <c r="C5" s="264" t="s">
        <v>143</v>
      </c>
      <c r="D5" s="1" t="s">
        <v>469</v>
      </c>
      <c r="E5" s="20" t="s">
        <v>470</v>
      </c>
      <c r="F5" s="19" t="s">
        <v>480</v>
      </c>
      <c r="G5" s="20">
        <v>5</v>
      </c>
    </row>
    <row r="6" spans="1:7" ht="79.95" customHeight="1" x14ac:dyDescent="0.3">
      <c r="A6" s="121" t="s">
        <v>4</v>
      </c>
      <c r="B6" s="19" t="s">
        <v>668</v>
      </c>
      <c r="C6" s="1" t="s">
        <v>669</v>
      </c>
      <c r="D6" s="1" t="s">
        <v>348</v>
      </c>
      <c r="E6" s="20" t="s">
        <v>463</v>
      </c>
      <c r="F6" s="19" t="s">
        <v>670</v>
      </c>
      <c r="G6" s="20">
        <v>4</v>
      </c>
    </row>
    <row r="7" spans="1:7" ht="79.95" customHeight="1" x14ac:dyDescent="0.3">
      <c r="A7" s="121" t="s">
        <v>5</v>
      </c>
      <c r="B7" s="19" t="s">
        <v>481</v>
      </c>
      <c r="C7" s="1" t="s">
        <v>482</v>
      </c>
      <c r="D7" s="1"/>
      <c r="E7" s="256"/>
      <c r="F7" s="19" t="s">
        <v>483</v>
      </c>
      <c r="G7" s="20">
        <v>4</v>
      </c>
    </row>
    <row r="8" spans="1:7" ht="79.95" customHeight="1" x14ac:dyDescent="0.3">
      <c r="A8" s="121" t="s">
        <v>6</v>
      </c>
      <c r="B8" s="19" t="s">
        <v>354</v>
      </c>
      <c r="C8" s="1" t="s">
        <v>353</v>
      </c>
      <c r="D8" s="1" t="s">
        <v>280</v>
      </c>
      <c r="E8" s="20" t="s">
        <v>279</v>
      </c>
      <c r="F8" s="19" t="s">
        <v>477</v>
      </c>
      <c r="G8" s="20">
        <v>4</v>
      </c>
    </row>
    <row r="9" spans="1:7" ht="79.95" customHeight="1" x14ac:dyDescent="0.3">
      <c r="A9" s="121" t="s">
        <v>1</v>
      </c>
      <c r="B9" s="19" t="s">
        <v>642</v>
      </c>
      <c r="C9" s="1" t="s">
        <v>641</v>
      </c>
      <c r="D9" s="1" t="s">
        <v>637</v>
      </c>
      <c r="E9" s="20" t="s">
        <v>638</v>
      </c>
      <c r="F9" s="19" t="s">
        <v>639</v>
      </c>
      <c r="G9" s="20">
        <v>2</v>
      </c>
    </row>
    <row r="10" spans="1:7" ht="79.95" customHeight="1" x14ac:dyDescent="0.3">
      <c r="A10" s="121" t="s">
        <v>2</v>
      </c>
      <c r="B10" s="19" t="s">
        <v>138</v>
      </c>
      <c r="C10" s="1" t="s">
        <v>139</v>
      </c>
      <c r="D10" s="1" t="s">
        <v>471</v>
      </c>
      <c r="E10" s="269" t="s">
        <v>472</v>
      </c>
      <c r="F10" s="19" t="s">
        <v>473</v>
      </c>
      <c r="G10" s="20">
        <v>2</v>
      </c>
    </row>
    <row r="11" spans="1:7" ht="79.95" customHeight="1" x14ac:dyDescent="0.3">
      <c r="A11" s="121" t="s">
        <v>3</v>
      </c>
      <c r="B11" s="19" t="s">
        <v>460</v>
      </c>
      <c r="C11" s="1" t="s">
        <v>461</v>
      </c>
      <c r="D11" s="1" t="s">
        <v>474</v>
      </c>
      <c r="E11" s="20" t="s">
        <v>462</v>
      </c>
      <c r="F11" s="19" t="s">
        <v>475</v>
      </c>
      <c r="G11" s="20">
        <v>2</v>
      </c>
    </row>
    <row r="12" spans="1:7" ht="79.95" customHeight="1" x14ac:dyDescent="0.3">
      <c r="A12" s="121" t="s">
        <v>8</v>
      </c>
      <c r="B12" s="19" t="s">
        <v>634</v>
      </c>
      <c r="C12" s="1" t="s">
        <v>635</v>
      </c>
      <c r="D12" s="1" t="s">
        <v>633</v>
      </c>
      <c r="E12" s="269" t="s">
        <v>632</v>
      </c>
      <c r="F12" s="19" t="s">
        <v>636</v>
      </c>
      <c r="G12" s="20">
        <v>2</v>
      </c>
    </row>
    <row r="13" spans="1:7" ht="79.95" customHeight="1" thickBot="1" x14ac:dyDescent="0.35">
      <c r="A13" s="155" t="s">
        <v>9</v>
      </c>
      <c r="B13" s="111" t="s">
        <v>145</v>
      </c>
      <c r="C13" s="267" t="s">
        <v>144</v>
      </c>
      <c r="D13" s="116" t="s">
        <v>467</v>
      </c>
      <c r="E13" s="270" t="s">
        <v>468</v>
      </c>
      <c r="F13" s="111" t="s">
        <v>479</v>
      </c>
      <c r="G13" s="119">
        <v>2</v>
      </c>
    </row>
  </sheetData>
  <autoFilter ref="A1:G13" xr:uid="{00000000-0001-0000-0400-000000000000}">
    <sortState xmlns:xlrd2="http://schemas.microsoft.com/office/spreadsheetml/2017/richdata2" ref="A2:G13">
      <sortCondition descending="1" ref="G1:G13"/>
    </sortState>
  </autoFilter>
  <conditionalFormatting sqref="G2:G13">
    <cfRule type="colorScale" priority="1">
      <colorScale>
        <cfvo type="min"/>
        <cfvo type="max"/>
        <color rgb="FFFCFCFF"/>
        <color rgb="FF63BE7B"/>
      </colorScale>
    </cfRule>
  </conditionalFormatting>
  <hyperlinks>
    <hyperlink ref="C10" r:id="rId1" xr:uid="{6E4B7DEA-78FF-47CB-94B9-85AED50E38C8}"/>
    <hyperlink ref="E10" r:id="rId2" display="https://media.ford.com/content/fordmedia/fna/us/en/news/2021/09/22/ford-redwood-materials-battery-recycling.html" xr:uid="{B2E12CFF-F032-46E7-9612-45C23141E257}"/>
    <hyperlink ref="C8" r:id="rId3" display="https://www.stellantis.com/en/news/press-releases/2022/october/stellantis-fosters-circular-economy-ambitions-with-dedicated-business-unit-to-power-new-era-of-sustainable-manufacturing-and-consumption" xr:uid="{D23BA5A5-EB9C-4926-A78E-0B75BC253DBF}"/>
    <hyperlink ref="C11" r:id="rId4" display="https://www.koreatimes.co.kr/www/tech/2023/07/129_336115.html" xr:uid="{1E58AB38-F5C4-4985-B2AD-6579B5F24E73}"/>
    <hyperlink ref="C13" r:id="rId5" xr:uid="{A2BF88A2-3B70-4B10-A4E7-C387CF2A9FFA}"/>
    <hyperlink ref="C12" r:id="rId6" display="https://www.electrive.com/2022/01/26/panasonic-toyota-tokyo-uni-join-forces-to-further-battery-circular-economy/" xr:uid="{29030B80-2127-4ACF-AF72-F1EACF2724FC}"/>
    <hyperlink ref="C4" r:id="rId7" xr:uid="{92D2E36B-6303-4CC4-A351-00074331048C}"/>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E47EE-3C04-4C4A-800B-39A9567F6485}">
  <sheetPr>
    <tabColor theme="7"/>
  </sheetPr>
  <dimension ref="B1:R16"/>
  <sheetViews>
    <sheetView showGridLines="0" workbookViewId="0">
      <selection activeCell="S17" sqref="S17"/>
    </sheetView>
  </sheetViews>
  <sheetFormatPr defaultRowHeight="14.4" x14ac:dyDescent="0.3"/>
  <cols>
    <col min="1" max="1" width="1.6640625" customWidth="1"/>
    <col min="2" max="2" width="21.77734375" customWidth="1"/>
    <col min="3" max="3" width="14.44140625" customWidth="1"/>
    <col min="4" max="4" width="10.21875" customWidth="1"/>
    <col min="5" max="5" width="12.88671875" customWidth="1"/>
    <col min="6" max="6" width="9.77734375" customWidth="1"/>
    <col min="7" max="7" width="14" customWidth="1"/>
    <col min="8" max="8" width="9.44140625" customWidth="1"/>
    <col min="9" max="9" width="17.44140625" customWidth="1"/>
    <col min="10" max="10" width="14.88671875" customWidth="1"/>
    <col min="11" max="11" width="13.88671875" customWidth="1"/>
    <col min="12" max="12" width="13.44140625" customWidth="1"/>
    <col min="13" max="13" width="11.21875" customWidth="1"/>
    <col min="14" max="14" width="13.5546875" customWidth="1"/>
    <col min="15" max="15" width="8.21875" customWidth="1"/>
    <col min="16" max="16" width="11.77734375" customWidth="1"/>
    <col min="17" max="17" width="11.5546875" customWidth="1"/>
    <col min="18" max="18" width="8.21875" customWidth="1"/>
  </cols>
  <sheetData>
    <row r="1" spans="2:18" ht="15" thickBot="1" x14ac:dyDescent="0.35"/>
    <row r="2" spans="2:18" ht="63" customHeight="1" thickBot="1" x14ac:dyDescent="0.35">
      <c r="B2" s="54" t="s">
        <v>0</v>
      </c>
      <c r="C2" s="55" t="s">
        <v>297</v>
      </c>
      <c r="D2" s="56" t="s">
        <v>684</v>
      </c>
      <c r="E2" s="55" t="s">
        <v>228</v>
      </c>
      <c r="F2" s="56" t="s">
        <v>656</v>
      </c>
      <c r="G2" s="55" t="s">
        <v>224</v>
      </c>
      <c r="H2" s="58" t="s">
        <v>626</v>
      </c>
      <c r="I2" s="55" t="s">
        <v>350</v>
      </c>
      <c r="J2" s="59" t="s">
        <v>225</v>
      </c>
      <c r="K2" s="56" t="s">
        <v>685</v>
      </c>
      <c r="L2" s="57" t="s">
        <v>226</v>
      </c>
      <c r="M2" s="56" t="s">
        <v>658</v>
      </c>
      <c r="N2" s="55" t="s">
        <v>508</v>
      </c>
      <c r="O2" s="56" t="s">
        <v>659</v>
      </c>
      <c r="P2" s="55" t="s">
        <v>509</v>
      </c>
      <c r="Q2" s="56" t="s">
        <v>627</v>
      </c>
      <c r="R2" s="130" t="s">
        <v>661</v>
      </c>
    </row>
    <row r="3" spans="2:18" ht="21" x14ac:dyDescent="0.3">
      <c r="B3" s="61" t="s">
        <v>1</v>
      </c>
      <c r="C3" s="84" t="s">
        <v>216</v>
      </c>
      <c r="D3" s="129">
        <v>1.5</v>
      </c>
      <c r="E3" s="89" t="s">
        <v>220</v>
      </c>
      <c r="F3" s="82">
        <v>2</v>
      </c>
      <c r="G3" s="89">
        <v>4</v>
      </c>
      <c r="H3" s="181">
        <v>1</v>
      </c>
      <c r="I3" s="91" t="s">
        <v>220</v>
      </c>
      <c r="J3" s="188" t="s">
        <v>220</v>
      </c>
      <c r="K3" s="81">
        <v>3</v>
      </c>
      <c r="L3" s="90" t="s">
        <v>220</v>
      </c>
      <c r="M3" s="129">
        <v>1.5</v>
      </c>
      <c r="N3" s="89" t="s">
        <v>220</v>
      </c>
      <c r="O3" s="129">
        <v>2</v>
      </c>
      <c r="P3" s="89" t="s">
        <v>306</v>
      </c>
      <c r="Q3" s="181">
        <v>1</v>
      </c>
      <c r="R3" s="107">
        <v>12</v>
      </c>
    </row>
    <row r="4" spans="2:18" ht="21" x14ac:dyDescent="0.3">
      <c r="B4" s="61" t="s">
        <v>11</v>
      </c>
      <c r="C4" s="85" t="s">
        <v>217</v>
      </c>
      <c r="D4" s="50">
        <v>1.5</v>
      </c>
      <c r="E4" s="91" t="s">
        <v>220</v>
      </c>
      <c r="F4" s="81">
        <v>2</v>
      </c>
      <c r="G4" s="91">
        <v>3</v>
      </c>
      <c r="H4" s="182">
        <v>0.75</v>
      </c>
      <c r="I4" s="184" t="s">
        <v>220</v>
      </c>
      <c r="J4" s="97" t="s">
        <v>220</v>
      </c>
      <c r="K4" s="185">
        <v>3</v>
      </c>
      <c r="L4" s="88" t="s">
        <v>220</v>
      </c>
      <c r="M4" s="50">
        <v>1.5</v>
      </c>
      <c r="N4" s="91" t="s">
        <v>220</v>
      </c>
      <c r="O4" s="50">
        <v>2</v>
      </c>
      <c r="P4" s="91" t="s">
        <v>303</v>
      </c>
      <c r="Q4" s="182">
        <v>0.5</v>
      </c>
      <c r="R4" s="179">
        <v>11.25</v>
      </c>
    </row>
    <row r="5" spans="2:18" ht="21" x14ac:dyDescent="0.3">
      <c r="B5" s="63" t="s">
        <v>10</v>
      </c>
      <c r="C5" s="85" t="s">
        <v>217</v>
      </c>
      <c r="D5" s="50">
        <v>1.5</v>
      </c>
      <c r="E5" s="91" t="s">
        <v>220</v>
      </c>
      <c r="F5" s="81">
        <v>2</v>
      </c>
      <c r="G5" s="91">
        <v>4</v>
      </c>
      <c r="H5" s="182">
        <v>1</v>
      </c>
      <c r="I5" s="184" t="s">
        <v>220</v>
      </c>
      <c r="J5" s="97" t="s">
        <v>220</v>
      </c>
      <c r="K5" s="185">
        <v>3</v>
      </c>
      <c r="L5" s="88" t="s">
        <v>220</v>
      </c>
      <c r="M5" s="50">
        <v>1.5</v>
      </c>
      <c r="N5" s="91" t="s">
        <v>220</v>
      </c>
      <c r="O5" s="50">
        <v>2</v>
      </c>
      <c r="P5" s="91" t="s">
        <v>219</v>
      </c>
      <c r="Q5" s="182">
        <v>0</v>
      </c>
      <c r="R5" s="179">
        <v>11</v>
      </c>
    </row>
    <row r="6" spans="2:18" ht="43.2" x14ac:dyDescent="0.3">
      <c r="B6" s="63" t="s">
        <v>6</v>
      </c>
      <c r="C6" s="85" t="s">
        <v>283</v>
      </c>
      <c r="D6" s="50">
        <v>4.5</v>
      </c>
      <c r="E6" s="91" t="s">
        <v>219</v>
      </c>
      <c r="F6" s="81">
        <v>0</v>
      </c>
      <c r="G6" s="91">
        <v>2</v>
      </c>
      <c r="H6" s="182">
        <v>0.5</v>
      </c>
      <c r="I6" s="184" t="s">
        <v>220</v>
      </c>
      <c r="J6" s="97" t="s">
        <v>219</v>
      </c>
      <c r="K6" s="185">
        <v>1.5</v>
      </c>
      <c r="L6" s="88" t="s">
        <v>220</v>
      </c>
      <c r="M6" s="50">
        <v>1.5</v>
      </c>
      <c r="N6" s="91" t="s">
        <v>220</v>
      </c>
      <c r="O6" s="50">
        <v>2</v>
      </c>
      <c r="P6" s="91" t="s">
        <v>219</v>
      </c>
      <c r="Q6" s="182">
        <v>0</v>
      </c>
      <c r="R6" s="179">
        <v>10</v>
      </c>
    </row>
    <row r="7" spans="2:18" ht="21" x14ac:dyDescent="0.3">
      <c r="B7" s="63" t="s">
        <v>2</v>
      </c>
      <c r="C7" s="85" t="s">
        <v>216</v>
      </c>
      <c r="D7" s="50">
        <v>1.5</v>
      </c>
      <c r="E7" s="91" t="s">
        <v>220</v>
      </c>
      <c r="F7" s="81">
        <v>2</v>
      </c>
      <c r="G7" s="91">
        <v>3</v>
      </c>
      <c r="H7" s="182">
        <v>0.75</v>
      </c>
      <c r="I7" s="184" t="s">
        <v>219</v>
      </c>
      <c r="J7" s="97" t="s">
        <v>220</v>
      </c>
      <c r="K7" s="185">
        <v>1.5</v>
      </c>
      <c r="L7" s="88" t="s">
        <v>220</v>
      </c>
      <c r="M7" s="50">
        <v>1.5</v>
      </c>
      <c r="N7" s="91" t="s">
        <v>220</v>
      </c>
      <c r="O7" s="50">
        <v>2</v>
      </c>
      <c r="P7" s="91" t="s">
        <v>219</v>
      </c>
      <c r="Q7" s="182">
        <v>0</v>
      </c>
      <c r="R7" s="179">
        <v>9.25</v>
      </c>
    </row>
    <row r="8" spans="2:18" ht="21" x14ac:dyDescent="0.3">
      <c r="B8" s="63" t="s">
        <v>7</v>
      </c>
      <c r="C8" s="106">
        <v>0</v>
      </c>
      <c r="D8" s="50">
        <v>0</v>
      </c>
      <c r="E8" s="91" t="s">
        <v>220</v>
      </c>
      <c r="F8" s="81">
        <v>2</v>
      </c>
      <c r="G8" s="91">
        <v>3</v>
      </c>
      <c r="H8" s="182">
        <v>0.75</v>
      </c>
      <c r="I8" s="184" t="s">
        <v>220</v>
      </c>
      <c r="J8" s="97" t="s">
        <v>220</v>
      </c>
      <c r="K8" s="185">
        <v>3</v>
      </c>
      <c r="L8" s="88" t="s">
        <v>220</v>
      </c>
      <c r="M8" s="50">
        <v>1.5</v>
      </c>
      <c r="N8" s="91" t="s">
        <v>220</v>
      </c>
      <c r="O8" s="50">
        <v>2</v>
      </c>
      <c r="P8" s="91" t="s">
        <v>219</v>
      </c>
      <c r="Q8" s="182">
        <v>0</v>
      </c>
      <c r="R8" s="179">
        <v>9.25</v>
      </c>
    </row>
    <row r="9" spans="2:18" ht="40.799999999999997" customHeight="1" x14ac:dyDescent="0.3">
      <c r="B9" s="63" t="s">
        <v>9</v>
      </c>
      <c r="C9" s="106">
        <v>0</v>
      </c>
      <c r="D9" s="50">
        <v>0</v>
      </c>
      <c r="E9" s="91" t="s">
        <v>219</v>
      </c>
      <c r="F9" s="81">
        <v>0</v>
      </c>
      <c r="G9" s="91">
        <v>3</v>
      </c>
      <c r="H9" s="182">
        <v>0.75</v>
      </c>
      <c r="I9" s="184" t="s">
        <v>220</v>
      </c>
      <c r="J9" s="97" t="s">
        <v>220</v>
      </c>
      <c r="K9" s="185">
        <v>3</v>
      </c>
      <c r="L9" s="88" t="s">
        <v>220</v>
      </c>
      <c r="M9" s="50">
        <v>1.5</v>
      </c>
      <c r="N9" s="91" t="s">
        <v>220</v>
      </c>
      <c r="O9" s="50">
        <v>2</v>
      </c>
      <c r="P9" s="91" t="s">
        <v>219</v>
      </c>
      <c r="Q9" s="182">
        <v>0</v>
      </c>
      <c r="R9" s="179">
        <v>7.25</v>
      </c>
    </row>
    <row r="10" spans="2:18" ht="34.200000000000003" customHeight="1" x14ac:dyDescent="0.3">
      <c r="B10" s="63" t="s">
        <v>5</v>
      </c>
      <c r="C10" s="85" t="s">
        <v>361</v>
      </c>
      <c r="D10" s="50">
        <v>3</v>
      </c>
      <c r="E10" s="91" t="s">
        <v>219</v>
      </c>
      <c r="F10" s="81">
        <v>0</v>
      </c>
      <c r="G10" s="91">
        <v>1</v>
      </c>
      <c r="H10" s="182">
        <v>0.25</v>
      </c>
      <c r="I10" s="184" t="s">
        <v>219</v>
      </c>
      <c r="J10" s="97" t="s">
        <v>220</v>
      </c>
      <c r="K10" s="185">
        <v>1.5</v>
      </c>
      <c r="L10" s="88" t="s">
        <v>219</v>
      </c>
      <c r="M10" s="50">
        <v>0</v>
      </c>
      <c r="N10" s="91" t="s">
        <v>219</v>
      </c>
      <c r="O10" s="50">
        <v>0</v>
      </c>
      <c r="P10" s="91" t="s">
        <v>298</v>
      </c>
      <c r="Q10" s="182">
        <v>0.5</v>
      </c>
      <c r="R10" s="179">
        <v>5.25</v>
      </c>
    </row>
    <row r="11" spans="2:18" ht="39.6" customHeight="1" x14ac:dyDescent="0.3">
      <c r="B11" s="63" t="s">
        <v>4</v>
      </c>
      <c r="C11" s="106">
        <v>0</v>
      </c>
      <c r="D11" s="50">
        <v>0</v>
      </c>
      <c r="E11" s="91" t="s">
        <v>219</v>
      </c>
      <c r="F11" s="81">
        <v>0</v>
      </c>
      <c r="G11" s="91">
        <v>1</v>
      </c>
      <c r="H11" s="182">
        <v>0.25</v>
      </c>
      <c r="I11" s="184" t="s">
        <v>219</v>
      </c>
      <c r="J11" s="97" t="s">
        <v>219</v>
      </c>
      <c r="K11" s="185">
        <v>0</v>
      </c>
      <c r="L11" s="88" t="s">
        <v>220</v>
      </c>
      <c r="M11" s="50">
        <v>1.5</v>
      </c>
      <c r="N11" s="91" t="s">
        <v>219</v>
      </c>
      <c r="O11" s="50">
        <v>0</v>
      </c>
      <c r="P11" s="91" t="s">
        <v>303</v>
      </c>
      <c r="Q11" s="182">
        <v>0.5</v>
      </c>
      <c r="R11" s="179">
        <v>2.25</v>
      </c>
    </row>
    <row r="12" spans="2:18" ht="21" x14ac:dyDescent="0.3">
      <c r="B12" s="63" t="s">
        <v>8</v>
      </c>
      <c r="C12" s="106">
        <v>0</v>
      </c>
      <c r="D12" s="50">
        <v>0</v>
      </c>
      <c r="E12" s="91" t="s">
        <v>219</v>
      </c>
      <c r="F12" s="81">
        <v>0</v>
      </c>
      <c r="G12" s="91">
        <v>2</v>
      </c>
      <c r="H12" s="182">
        <v>0.5</v>
      </c>
      <c r="I12" s="184" t="s">
        <v>219</v>
      </c>
      <c r="J12" s="97" t="s">
        <v>219</v>
      </c>
      <c r="K12" s="185">
        <v>0</v>
      </c>
      <c r="L12" s="88" t="s">
        <v>219</v>
      </c>
      <c r="M12" s="50">
        <v>0</v>
      </c>
      <c r="N12" s="91" t="s">
        <v>220</v>
      </c>
      <c r="O12" s="50">
        <v>2</v>
      </c>
      <c r="P12" s="91" t="s">
        <v>219</v>
      </c>
      <c r="Q12" s="182">
        <v>0</v>
      </c>
      <c r="R12" s="179">
        <v>2.5</v>
      </c>
    </row>
    <row r="13" spans="2:18" ht="21" x14ac:dyDescent="0.3">
      <c r="B13" s="63" t="s">
        <v>3</v>
      </c>
      <c r="C13" s="106">
        <v>0</v>
      </c>
      <c r="D13" s="50">
        <v>0</v>
      </c>
      <c r="E13" s="91" t="s">
        <v>219</v>
      </c>
      <c r="F13" s="81">
        <v>0</v>
      </c>
      <c r="G13" s="91">
        <v>0</v>
      </c>
      <c r="H13" s="182">
        <v>0</v>
      </c>
      <c r="I13" s="184" t="s">
        <v>219</v>
      </c>
      <c r="J13" s="97" t="s">
        <v>219</v>
      </c>
      <c r="K13" s="185">
        <v>0</v>
      </c>
      <c r="L13" s="88" t="s">
        <v>219</v>
      </c>
      <c r="M13" s="50">
        <v>0</v>
      </c>
      <c r="N13" s="91" t="s">
        <v>220</v>
      </c>
      <c r="O13" s="50">
        <v>2</v>
      </c>
      <c r="P13" s="91" t="s">
        <v>219</v>
      </c>
      <c r="Q13" s="182">
        <v>0</v>
      </c>
      <c r="R13" s="179">
        <v>2</v>
      </c>
    </row>
    <row r="14" spans="2:18" ht="21.6" thickBot="1" x14ac:dyDescent="0.35">
      <c r="B14" s="65" t="s">
        <v>290</v>
      </c>
      <c r="C14" s="86">
        <v>0</v>
      </c>
      <c r="D14" s="278">
        <v>0</v>
      </c>
      <c r="E14" s="92" t="s">
        <v>219</v>
      </c>
      <c r="F14" s="83">
        <v>0</v>
      </c>
      <c r="G14" s="92">
        <v>0</v>
      </c>
      <c r="H14" s="183">
        <v>0</v>
      </c>
      <c r="I14" s="186" t="s">
        <v>219</v>
      </c>
      <c r="J14" s="100" t="s">
        <v>219</v>
      </c>
      <c r="K14" s="187">
        <v>0</v>
      </c>
      <c r="L14" s="93" t="s">
        <v>219</v>
      </c>
      <c r="M14" s="278">
        <v>0</v>
      </c>
      <c r="N14" s="92" t="s">
        <v>219</v>
      </c>
      <c r="O14" s="278">
        <v>0</v>
      </c>
      <c r="P14" s="92" t="s">
        <v>219</v>
      </c>
      <c r="Q14" s="183">
        <v>0</v>
      </c>
      <c r="R14" s="180">
        <v>0</v>
      </c>
    </row>
    <row r="16" spans="2:18" s="104" customFormat="1" ht="59.4" customHeight="1" x14ac:dyDescent="0.3">
      <c r="B16" s="105"/>
      <c r="C16" s="307"/>
      <c r="D16" s="307"/>
      <c r="E16" s="16"/>
      <c r="G16" s="307"/>
      <c r="H16" s="307"/>
      <c r="J16" s="16"/>
    </row>
  </sheetData>
  <autoFilter ref="B2:R2" xr:uid="{6D4B47F0-0ABE-463D-A663-348DF73679B2}">
    <sortState xmlns:xlrd2="http://schemas.microsoft.com/office/spreadsheetml/2017/richdata2" ref="B3:R14">
      <sortCondition descending="1" ref="R2"/>
    </sortState>
  </autoFilter>
  <mergeCells count="2">
    <mergeCell ref="C16:D16"/>
    <mergeCell ref="G16:H16"/>
  </mergeCells>
  <conditionalFormatting sqref="C3:F14">
    <cfRule type="cellIs" dxfId="14" priority="34" operator="equal">
      <formula>0</formula>
    </cfRule>
  </conditionalFormatting>
  <conditionalFormatting sqref="D3:D14">
    <cfRule type="colorScale" priority="35">
      <colorScale>
        <cfvo type="num" val="0"/>
        <cfvo type="num" val="4.5"/>
        <color rgb="FFFCFCFF"/>
        <color rgb="FF63BE7B"/>
      </colorScale>
    </cfRule>
  </conditionalFormatting>
  <conditionalFormatting sqref="R3:R14">
    <cfRule type="cellIs" dxfId="13" priority="32" operator="equal">
      <formula>0</formula>
    </cfRule>
  </conditionalFormatting>
  <conditionalFormatting sqref="R3:R14">
    <cfRule type="colorScale" priority="33">
      <colorScale>
        <cfvo type="num" val="0"/>
        <cfvo type="num" val="15"/>
        <color rgb="FFFCFCFF"/>
        <color rgb="FF63BE7B"/>
      </colorScale>
    </cfRule>
  </conditionalFormatting>
  <conditionalFormatting sqref="F3:F14">
    <cfRule type="colorScale" priority="31">
      <colorScale>
        <cfvo type="min"/>
        <cfvo type="num" val="2"/>
        <color rgb="FFFCFCFF"/>
        <color rgb="FF63BE7B"/>
      </colorScale>
    </cfRule>
  </conditionalFormatting>
  <conditionalFormatting sqref="G3:H14">
    <cfRule type="cellIs" dxfId="12" priority="29" operator="equal">
      <formula>0</formula>
    </cfRule>
  </conditionalFormatting>
  <conditionalFormatting sqref="H3:H14">
    <cfRule type="colorScale" priority="28">
      <colorScale>
        <cfvo type="min"/>
        <cfvo type="num" val="1"/>
        <color rgb="FFFCFCFF"/>
        <color rgb="FF63BE7B"/>
      </colorScale>
    </cfRule>
  </conditionalFormatting>
  <conditionalFormatting sqref="J14 J3:J12">
    <cfRule type="cellIs" dxfId="11" priority="27" operator="equal">
      <formula>0</formula>
    </cfRule>
  </conditionalFormatting>
  <conditionalFormatting sqref="I3:K14">
    <cfRule type="cellIs" dxfId="10" priority="25" operator="equal">
      <formula>0</formula>
    </cfRule>
  </conditionalFormatting>
  <conditionalFormatting sqref="K3:K14">
    <cfRule type="colorScale" priority="24">
      <colorScale>
        <cfvo type="min"/>
        <cfvo type="num" val="3"/>
        <color rgb="FFFCFCFF"/>
        <color rgb="FF63BE7B"/>
      </colorScale>
    </cfRule>
  </conditionalFormatting>
  <conditionalFormatting sqref="L3:M14">
    <cfRule type="cellIs" dxfId="9" priority="23" operator="equal">
      <formula>0</formula>
    </cfRule>
  </conditionalFormatting>
  <conditionalFormatting sqref="M3:M14">
    <cfRule type="colorScale" priority="22">
      <colorScale>
        <cfvo type="min"/>
        <cfvo type="num" val="1.5"/>
        <color rgb="FFFCFCFF"/>
        <color rgb="FF63BE7B"/>
      </colorScale>
    </cfRule>
  </conditionalFormatting>
  <conditionalFormatting sqref="N3:O14">
    <cfRule type="cellIs" dxfId="8" priority="21" operator="equal">
      <formula>0</formula>
    </cfRule>
  </conditionalFormatting>
  <conditionalFormatting sqref="O3:O14">
    <cfRule type="colorScale" priority="20">
      <colorScale>
        <cfvo type="min"/>
        <cfvo type="num" val="2"/>
        <color rgb="FFFCFCFF"/>
        <color rgb="FF63BE7B"/>
      </colorScale>
    </cfRule>
  </conditionalFormatting>
  <conditionalFormatting sqref="P3:Q14">
    <cfRule type="cellIs" dxfId="7" priority="19" operator="equal">
      <formula>0</formula>
    </cfRule>
  </conditionalFormatting>
  <conditionalFormatting sqref="Q3:Q14">
    <cfRule type="colorScale" priority="18">
      <colorScale>
        <cfvo type="num" val="0"/>
        <cfvo type="num" val="1"/>
        <color rgb="FFFCFCFF"/>
        <color rgb="FF63BE7B"/>
      </colorScale>
    </cfRule>
  </conditionalFormatting>
  <conditionalFormatting sqref="J13">
    <cfRule type="cellIs" dxfId="6" priority="10"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64B13-26DB-4F64-AEB8-74607E59223E}">
  <sheetPr>
    <tabColor theme="7" tint="0.79998168889431442"/>
  </sheetPr>
  <dimension ref="A1:AG14"/>
  <sheetViews>
    <sheetView workbookViewId="0">
      <pane xSplit="1" ySplit="1" topLeftCell="B2" activePane="bottomRight" state="frozen"/>
      <selection pane="topRight" activeCell="B1" sqref="B1"/>
      <selection pane="bottomLeft" activeCell="A2" sqref="A2"/>
      <selection pane="bottomRight"/>
    </sheetView>
  </sheetViews>
  <sheetFormatPr defaultRowHeight="14.4" x14ac:dyDescent="0.3"/>
  <cols>
    <col min="1" max="1" width="8.88671875" style="21"/>
    <col min="2" max="33" width="15.77734375" style="21" customWidth="1"/>
    <col min="34" max="16384" width="8.88671875" style="21"/>
  </cols>
  <sheetData>
    <row r="1" spans="1:33" customFormat="1" ht="69.599999999999994" thickBot="1" x14ac:dyDescent="0.35">
      <c r="A1" s="36" t="s">
        <v>0</v>
      </c>
      <c r="B1" s="35" t="s">
        <v>295</v>
      </c>
      <c r="C1" s="31" t="s">
        <v>95</v>
      </c>
      <c r="D1" s="31" t="s">
        <v>296</v>
      </c>
      <c r="E1" s="71" t="s">
        <v>655</v>
      </c>
      <c r="F1" s="35" t="s">
        <v>218</v>
      </c>
      <c r="G1" s="31" t="s">
        <v>95</v>
      </c>
      <c r="H1" s="31" t="s">
        <v>221</v>
      </c>
      <c r="I1" s="71" t="s">
        <v>656</v>
      </c>
      <c r="J1" s="35" t="s">
        <v>32</v>
      </c>
      <c r="K1" s="31" t="s">
        <v>95</v>
      </c>
      <c r="L1" s="31" t="s">
        <v>224</v>
      </c>
      <c r="M1" s="73" t="s">
        <v>626</v>
      </c>
      <c r="N1" s="32" t="s">
        <v>188</v>
      </c>
      <c r="O1" s="33" t="s">
        <v>95</v>
      </c>
      <c r="P1" s="33" t="s">
        <v>350</v>
      </c>
      <c r="Q1" s="33" t="s">
        <v>157</v>
      </c>
      <c r="R1" s="33" t="s">
        <v>95</v>
      </c>
      <c r="S1" s="33" t="s">
        <v>225</v>
      </c>
      <c r="T1" s="71" t="s">
        <v>657</v>
      </c>
      <c r="U1" s="35" t="s">
        <v>196</v>
      </c>
      <c r="V1" s="31" t="s">
        <v>95</v>
      </c>
      <c r="W1" s="31" t="s">
        <v>226</v>
      </c>
      <c r="X1" s="71" t="s">
        <v>658</v>
      </c>
      <c r="Y1" s="35" t="s">
        <v>156</v>
      </c>
      <c r="Z1" s="31" t="s">
        <v>95</v>
      </c>
      <c r="AA1" s="31" t="s">
        <v>227</v>
      </c>
      <c r="AB1" s="71" t="s">
        <v>659</v>
      </c>
      <c r="AC1" s="35" t="s">
        <v>148</v>
      </c>
      <c r="AD1" s="31" t="s">
        <v>95</v>
      </c>
      <c r="AE1" s="31" t="s">
        <v>299</v>
      </c>
      <c r="AF1" s="71" t="s">
        <v>627</v>
      </c>
      <c r="AG1" s="80" t="s">
        <v>660</v>
      </c>
    </row>
    <row r="2" spans="1:33" customFormat="1" ht="79.95" customHeight="1" x14ac:dyDescent="0.3">
      <c r="A2" s="37" t="s">
        <v>1</v>
      </c>
      <c r="B2" s="30" t="s">
        <v>49</v>
      </c>
      <c r="C2" s="25" t="s">
        <v>48</v>
      </c>
      <c r="D2" s="25" t="s">
        <v>216</v>
      </c>
      <c r="E2" s="29">
        <v>1.5</v>
      </c>
      <c r="F2" s="30" t="s">
        <v>244</v>
      </c>
      <c r="G2" s="25" t="s">
        <v>245</v>
      </c>
      <c r="H2" s="25" t="s">
        <v>220</v>
      </c>
      <c r="I2" s="29">
        <v>2</v>
      </c>
      <c r="J2" s="113" t="s">
        <v>158</v>
      </c>
      <c r="K2" s="115" t="s">
        <v>159</v>
      </c>
      <c r="L2" s="115">
        <v>4</v>
      </c>
      <c r="M2" s="115">
        <f>L2/4</f>
        <v>1</v>
      </c>
      <c r="N2" s="26" t="s">
        <v>294</v>
      </c>
      <c r="O2" s="24"/>
      <c r="P2" s="24" t="s">
        <v>220</v>
      </c>
      <c r="Q2" s="24" t="s">
        <v>250</v>
      </c>
      <c r="R2" s="24" t="s">
        <v>249</v>
      </c>
      <c r="S2" s="24" t="s">
        <v>220</v>
      </c>
      <c r="T2" s="29">
        <v>3</v>
      </c>
      <c r="U2" s="30" t="s">
        <v>186</v>
      </c>
      <c r="V2" s="25" t="s">
        <v>167</v>
      </c>
      <c r="W2" s="25" t="s">
        <v>220</v>
      </c>
      <c r="X2" s="29">
        <v>1.5</v>
      </c>
      <c r="Y2" s="30" t="s">
        <v>154</v>
      </c>
      <c r="Z2" s="25" t="s">
        <v>155</v>
      </c>
      <c r="AA2" s="25" t="s">
        <v>220</v>
      </c>
      <c r="AB2" s="29">
        <v>2</v>
      </c>
      <c r="AC2" s="30" t="s">
        <v>199</v>
      </c>
      <c r="AD2" s="25" t="s">
        <v>149</v>
      </c>
      <c r="AE2" s="25" t="s">
        <v>306</v>
      </c>
      <c r="AF2" s="29">
        <v>1</v>
      </c>
      <c r="AG2" s="29">
        <f t="shared" ref="AG2:AG13" si="0">AF2+AB2+X2+T2+M2+E2</f>
        <v>10</v>
      </c>
    </row>
    <row r="3" spans="1:33" customFormat="1" ht="79.95" customHeight="1" x14ac:dyDescent="0.3">
      <c r="A3" s="37" t="s">
        <v>6</v>
      </c>
      <c r="B3" s="30" t="s">
        <v>289</v>
      </c>
      <c r="C3" s="25" t="s">
        <v>282</v>
      </c>
      <c r="D3" s="25" t="s">
        <v>283</v>
      </c>
      <c r="E3" s="29">
        <v>4.5</v>
      </c>
      <c r="F3" s="30"/>
      <c r="G3" s="25"/>
      <c r="H3" s="25" t="s">
        <v>219</v>
      </c>
      <c r="I3" s="29">
        <v>0</v>
      </c>
      <c r="J3" s="26" t="s">
        <v>28</v>
      </c>
      <c r="K3" s="25" t="s">
        <v>29</v>
      </c>
      <c r="L3" s="25">
        <v>2</v>
      </c>
      <c r="M3" s="25">
        <f t="shared" ref="M3:M13" si="1">L3/4</f>
        <v>0.5</v>
      </c>
      <c r="N3" s="19" t="s">
        <v>204</v>
      </c>
      <c r="O3" s="1" t="s">
        <v>187</v>
      </c>
      <c r="P3" s="1" t="s">
        <v>220</v>
      </c>
      <c r="Q3" s="1"/>
      <c r="R3" s="1"/>
      <c r="S3" s="1" t="s">
        <v>219</v>
      </c>
      <c r="T3" s="20">
        <v>1.5</v>
      </c>
      <c r="U3" s="30" t="s">
        <v>177</v>
      </c>
      <c r="V3" s="25" t="s">
        <v>197</v>
      </c>
      <c r="W3" s="25" t="s">
        <v>220</v>
      </c>
      <c r="X3" s="29">
        <v>1.5</v>
      </c>
      <c r="Y3" s="30" t="s">
        <v>180</v>
      </c>
      <c r="Z3" s="202" t="s">
        <v>181</v>
      </c>
      <c r="AA3" s="25" t="s">
        <v>220</v>
      </c>
      <c r="AB3" s="29">
        <v>2</v>
      </c>
      <c r="AC3" s="30"/>
      <c r="AD3" s="25"/>
      <c r="AE3" s="25" t="s">
        <v>219</v>
      </c>
      <c r="AF3" s="29">
        <v>0</v>
      </c>
      <c r="AG3" s="29">
        <f t="shared" si="0"/>
        <v>10</v>
      </c>
    </row>
    <row r="4" spans="1:33" customFormat="1" ht="79.95" customHeight="1" x14ac:dyDescent="0.3">
      <c r="A4" s="38" t="s">
        <v>11</v>
      </c>
      <c r="B4" s="18" t="s">
        <v>20</v>
      </c>
      <c r="C4" s="17" t="s">
        <v>21</v>
      </c>
      <c r="D4" s="17" t="s">
        <v>217</v>
      </c>
      <c r="E4" s="20">
        <v>1.5</v>
      </c>
      <c r="F4" s="18" t="s">
        <v>210</v>
      </c>
      <c r="G4" s="17" t="s">
        <v>161</v>
      </c>
      <c r="H4" s="17" t="s">
        <v>220</v>
      </c>
      <c r="I4" s="20">
        <v>2</v>
      </c>
      <c r="J4" s="19" t="s">
        <v>246</v>
      </c>
      <c r="K4" s="17" t="s">
        <v>314</v>
      </c>
      <c r="L4" s="17">
        <v>3</v>
      </c>
      <c r="M4" s="25">
        <f t="shared" si="1"/>
        <v>0.75</v>
      </c>
      <c r="N4" s="19" t="s">
        <v>203</v>
      </c>
      <c r="O4" s="1" t="s">
        <v>195</v>
      </c>
      <c r="P4" s="1" t="s">
        <v>220</v>
      </c>
      <c r="Q4" s="1" t="s">
        <v>209</v>
      </c>
      <c r="R4" s="1" t="s">
        <v>193</v>
      </c>
      <c r="S4" s="1" t="s">
        <v>220</v>
      </c>
      <c r="T4" s="20">
        <v>3</v>
      </c>
      <c r="U4" s="18" t="s">
        <v>168</v>
      </c>
      <c r="V4" s="17" t="s">
        <v>169</v>
      </c>
      <c r="W4" s="17" t="s">
        <v>220</v>
      </c>
      <c r="X4" s="20">
        <v>1.5</v>
      </c>
      <c r="Y4" s="18" t="s">
        <v>170</v>
      </c>
      <c r="Z4" s="17" t="s">
        <v>171</v>
      </c>
      <c r="AA4" s="17" t="s">
        <v>220</v>
      </c>
      <c r="AB4" s="20">
        <v>2</v>
      </c>
      <c r="AC4" s="18" t="s">
        <v>200</v>
      </c>
      <c r="AD4" s="17" t="s">
        <v>198</v>
      </c>
      <c r="AE4" s="25" t="s">
        <v>303</v>
      </c>
      <c r="AF4" s="20">
        <v>0.5</v>
      </c>
      <c r="AG4" s="29">
        <f t="shared" si="0"/>
        <v>9.25</v>
      </c>
    </row>
    <row r="5" spans="1:33" customFormat="1" ht="79.95" customHeight="1" x14ac:dyDescent="0.3">
      <c r="A5" s="38" t="s">
        <v>10</v>
      </c>
      <c r="B5" s="18" t="s">
        <v>37</v>
      </c>
      <c r="C5" s="17" t="s">
        <v>38</v>
      </c>
      <c r="D5" s="17" t="s">
        <v>217</v>
      </c>
      <c r="E5" s="20">
        <v>1.5</v>
      </c>
      <c r="F5" s="18" t="s">
        <v>212</v>
      </c>
      <c r="G5" s="17" t="s">
        <v>162</v>
      </c>
      <c r="H5" s="17" t="s">
        <v>220</v>
      </c>
      <c r="I5" s="20">
        <v>2</v>
      </c>
      <c r="J5" s="19" t="s">
        <v>163</v>
      </c>
      <c r="K5" s="17" t="s">
        <v>164</v>
      </c>
      <c r="L5" s="17">
        <v>4</v>
      </c>
      <c r="M5" s="25">
        <f t="shared" si="1"/>
        <v>1</v>
      </c>
      <c r="N5" s="19" t="s">
        <v>206</v>
      </c>
      <c r="O5" s="1" t="s">
        <v>189</v>
      </c>
      <c r="P5" s="1" t="s">
        <v>220</v>
      </c>
      <c r="Q5" s="1" t="s">
        <v>207</v>
      </c>
      <c r="R5" s="1" t="s">
        <v>191</v>
      </c>
      <c r="S5" s="1" t="s">
        <v>220</v>
      </c>
      <c r="T5" s="20">
        <v>3</v>
      </c>
      <c r="U5" s="18" t="s">
        <v>179</v>
      </c>
      <c r="V5" s="17" t="s">
        <v>178</v>
      </c>
      <c r="W5" s="17" t="s">
        <v>220</v>
      </c>
      <c r="X5" s="20">
        <v>1.5</v>
      </c>
      <c r="Y5" s="18" t="s">
        <v>202</v>
      </c>
      <c r="Z5" s="23" t="s">
        <v>183</v>
      </c>
      <c r="AA5" s="17" t="s">
        <v>220</v>
      </c>
      <c r="AB5" s="20">
        <v>2</v>
      </c>
      <c r="AC5" s="18"/>
      <c r="AD5" s="17"/>
      <c r="AE5" s="17" t="s">
        <v>219</v>
      </c>
      <c r="AF5" s="20">
        <v>0</v>
      </c>
      <c r="AG5" s="29">
        <f t="shared" si="0"/>
        <v>9</v>
      </c>
    </row>
    <row r="6" spans="1:33" customFormat="1" ht="79.95" customHeight="1" x14ac:dyDescent="0.3">
      <c r="A6" s="38" t="s">
        <v>2</v>
      </c>
      <c r="B6" s="18" t="s">
        <v>251</v>
      </c>
      <c r="C6" s="17" t="s">
        <v>66</v>
      </c>
      <c r="D6" s="17" t="s">
        <v>216</v>
      </c>
      <c r="E6" s="20">
        <v>1.5</v>
      </c>
      <c r="F6" s="18" t="s">
        <v>211</v>
      </c>
      <c r="G6" s="17" t="s">
        <v>160</v>
      </c>
      <c r="H6" s="17" t="s">
        <v>220</v>
      </c>
      <c r="I6" s="20">
        <v>2</v>
      </c>
      <c r="J6" s="19" t="s">
        <v>166</v>
      </c>
      <c r="K6" s="17" t="s">
        <v>165</v>
      </c>
      <c r="L6" s="17">
        <v>3</v>
      </c>
      <c r="M6" s="25">
        <f t="shared" si="1"/>
        <v>0.75</v>
      </c>
      <c r="N6" s="19"/>
      <c r="O6" s="1"/>
      <c r="P6" s="1" t="s">
        <v>219</v>
      </c>
      <c r="Q6" s="1" t="s">
        <v>207</v>
      </c>
      <c r="R6" s="1" t="s">
        <v>194</v>
      </c>
      <c r="S6" s="1" t="s">
        <v>220</v>
      </c>
      <c r="T6" s="20">
        <v>1.5</v>
      </c>
      <c r="U6" s="18" t="s">
        <v>172</v>
      </c>
      <c r="V6" s="17" t="s">
        <v>173</v>
      </c>
      <c r="W6" s="17" t="s">
        <v>220</v>
      </c>
      <c r="X6" s="20">
        <v>1.5</v>
      </c>
      <c r="Y6" s="18" t="s">
        <v>150</v>
      </c>
      <c r="Z6" s="17" t="s">
        <v>151</v>
      </c>
      <c r="AA6" s="17" t="s">
        <v>220</v>
      </c>
      <c r="AB6" s="20">
        <v>2</v>
      </c>
      <c r="AC6" s="18"/>
      <c r="AD6" s="17"/>
      <c r="AE6" s="17" t="s">
        <v>219</v>
      </c>
      <c r="AF6" s="20">
        <v>0</v>
      </c>
      <c r="AG6" s="29">
        <f t="shared" si="0"/>
        <v>7.25</v>
      </c>
    </row>
    <row r="7" spans="1:33" customFormat="1" ht="79.95" customHeight="1" x14ac:dyDescent="0.3">
      <c r="A7" s="38" t="s">
        <v>9</v>
      </c>
      <c r="B7" s="18"/>
      <c r="C7" s="17"/>
      <c r="D7" s="17"/>
      <c r="E7" s="20">
        <v>0</v>
      </c>
      <c r="F7" s="18"/>
      <c r="G7" s="17"/>
      <c r="H7" s="17" t="s">
        <v>219</v>
      </c>
      <c r="I7" s="20">
        <v>0</v>
      </c>
      <c r="J7" s="19" t="s">
        <v>33</v>
      </c>
      <c r="K7" s="17" t="s">
        <v>34</v>
      </c>
      <c r="L7" s="17">
        <v>3</v>
      </c>
      <c r="M7" s="25">
        <f t="shared" si="1"/>
        <v>0.75</v>
      </c>
      <c r="N7" s="19" t="s">
        <v>205</v>
      </c>
      <c r="O7" s="1" t="s">
        <v>190</v>
      </c>
      <c r="P7" s="1" t="s">
        <v>220</v>
      </c>
      <c r="Q7" s="1" t="s">
        <v>248</v>
      </c>
      <c r="R7" s="1" t="s">
        <v>247</v>
      </c>
      <c r="S7" s="1" t="s">
        <v>220</v>
      </c>
      <c r="T7" s="20">
        <v>3</v>
      </c>
      <c r="U7" s="18" t="s">
        <v>176</v>
      </c>
      <c r="V7" s="17" t="s">
        <v>175</v>
      </c>
      <c r="W7" s="17" t="s">
        <v>220</v>
      </c>
      <c r="X7" s="20">
        <v>1.5</v>
      </c>
      <c r="Y7" s="18" t="s">
        <v>184</v>
      </c>
      <c r="Z7" s="23" t="s">
        <v>185</v>
      </c>
      <c r="AA7" s="17" t="s">
        <v>220</v>
      </c>
      <c r="AB7" s="20">
        <v>2</v>
      </c>
      <c r="AC7" s="18"/>
      <c r="AD7" s="17"/>
      <c r="AE7" s="17" t="s">
        <v>219</v>
      </c>
      <c r="AF7" s="20">
        <v>0</v>
      </c>
      <c r="AG7" s="29">
        <f t="shared" si="0"/>
        <v>7.25</v>
      </c>
    </row>
    <row r="8" spans="1:33" customFormat="1" ht="79.95" customHeight="1" x14ac:dyDescent="0.3">
      <c r="A8" s="153" t="s">
        <v>7</v>
      </c>
      <c r="B8" s="18"/>
      <c r="C8" s="17"/>
      <c r="D8" s="17"/>
      <c r="E8" s="20">
        <v>0</v>
      </c>
      <c r="F8" s="18" t="s">
        <v>309</v>
      </c>
      <c r="G8" s="23" t="s">
        <v>308</v>
      </c>
      <c r="H8" s="17" t="s">
        <v>220</v>
      </c>
      <c r="I8" s="20">
        <v>2</v>
      </c>
      <c r="J8" s="201" t="s">
        <v>345</v>
      </c>
      <c r="K8" s="17" t="s">
        <v>313</v>
      </c>
      <c r="L8" s="17">
        <v>3</v>
      </c>
      <c r="M8" s="25">
        <f t="shared" si="1"/>
        <v>0.75</v>
      </c>
      <c r="N8" s="19" t="s">
        <v>312</v>
      </c>
      <c r="O8" s="1" t="s">
        <v>308</v>
      </c>
      <c r="P8" s="1" t="s">
        <v>220</v>
      </c>
      <c r="Q8" s="1" t="s">
        <v>346</v>
      </c>
      <c r="R8" s="1" t="s">
        <v>347</v>
      </c>
      <c r="S8" s="1" t="s">
        <v>220</v>
      </c>
      <c r="T8" s="20">
        <v>3</v>
      </c>
      <c r="U8" s="18" t="s">
        <v>316</v>
      </c>
      <c r="V8" s="17" t="s">
        <v>315</v>
      </c>
      <c r="W8" s="17" t="s">
        <v>220</v>
      </c>
      <c r="X8" s="20">
        <v>1.5</v>
      </c>
      <c r="Y8" s="18" t="s">
        <v>310</v>
      </c>
      <c r="Z8" s="17" t="s">
        <v>311</v>
      </c>
      <c r="AA8" s="17" t="s">
        <v>220</v>
      </c>
      <c r="AB8" s="20">
        <v>2</v>
      </c>
      <c r="AC8" s="18"/>
      <c r="AD8" s="17"/>
      <c r="AE8" s="17" t="s">
        <v>219</v>
      </c>
      <c r="AF8" s="20">
        <v>0</v>
      </c>
      <c r="AG8" s="29">
        <f t="shared" si="0"/>
        <v>7.25</v>
      </c>
    </row>
    <row r="9" spans="1:33" customFormat="1" ht="79.95" customHeight="1" x14ac:dyDescent="0.3">
      <c r="A9" s="38" t="s">
        <v>5</v>
      </c>
      <c r="B9" s="18" t="s">
        <v>362</v>
      </c>
      <c r="C9" s="17" t="s">
        <v>363</v>
      </c>
      <c r="D9" s="17" t="s">
        <v>361</v>
      </c>
      <c r="E9" s="20">
        <v>3</v>
      </c>
      <c r="F9" s="18"/>
      <c r="G9" s="17"/>
      <c r="H9" s="17" t="s">
        <v>219</v>
      </c>
      <c r="I9" s="20">
        <v>0</v>
      </c>
      <c r="J9" s="19" t="s">
        <v>222</v>
      </c>
      <c r="K9" s="17" t="s">
        <v>223</v>
      </c>
      <c r="L9" s="17">
        <v>1</v>
      </c>
      <c r="M9" s="25">
        <f t="shared" si="1"/>
        <v>0.25</v>
      </c>
      <c r="N9" s="19"/>
      <c r="O9" s="1"/>
      <c r="P9" s="1" t="s">
        <v>219</v>
      </c>
      <c r="Q9" s="1" t="s">
        <v>208</v>
      </c>
      <c r="R9" s="1" t="s">
        <v>192</v>
      </c>
      <c r="S9" s="1" t="s">
        <v>220</v>
      </c>
      <c r="T9" s="20">
        <v>1.5</v>
      </c>
      <c r="U9" s="18"/>
      <c r="V9" s="18"/>
      <c r="W9" s="79" t="s">
        <v>219</v>
      </c>
      <c r="X9" s="20">
        <v>0</v>
      </c>
      <c r="Y9" s="18"/>
      <c r="Z9" s="17"/>
      <c r="AA9" s="17" t="s">
        <v>219</v>
      </c>
      <c r="AB9" s="20">
        <v>0</v>
      </c>
      <c r="AC9" s="18" t="s">
        <v>301</v>
      </c>
      <c r="AD9" s="23" t="s">
        <v>300</v>
      </c>
      <c r="AE9" s="17" t="s">
        <v>298</v>
      </c>
      <c r="AF9" s="20">
        <v>0.5</v>
      </c>
      <c r="AG9" s="29">
        <f t="shared" si="0"/>
        <v>5.25</v>
      </c>
    </row>
    <row r="10" spans="1:33" customFormat="1" ht="79.95" customHeight="1" x14ac:dyDescent="0.3">
      <c r="A10" s="38" t="s">
        <v>4</v>
      </c>
      <c r="B10" s="18"/>
      <c r="C10" s="17"/>
      <c r="D10" s="17"/>
      <c r="E10" s="20">
        <v>0</v>
      </c>
      <c r="F10" s="18"/>
      <c r="G10" s="17"/>
      <c r="H10" s="17" t="s">
        <v>219</v>
      </c>
      <c r="I10" s="20">
        <v>0</v>
      </c>
      <c r="J10" s="19" t="s">
        <v>27</v>
      </c>
      <c r="K10" s="17" t="s">
        <v>30</v>
      </c>
      <c r="L10" s="17">
        <v>1</v>
      </c>
      <c r="M10" s="25">
        <f t="shared" si="1"/>
        <v>0.25</v>
      </c>
      <c r="N10" s="19"/>
      <c r="O10" s="1"/>
      <c r="P10" s="1" t="s">
        <v>219</v>
      </c>
      <c r="Q10" s="1"/>
      <c r="R10" s="1"/>
      <c r="S10" s="1" t="s">
        <v>219</v>
      </c>
      <c r="T10" s="20">
        <v>0</v>
      </c>
      <c r="U10" s="18" t="s">
        <v>174</v>
      </c>
      <c r="V10" s="17" t="s">
        <v>31</v>
      </c>
      <c r="W10" s="17" t="s">
        <v>220</v>
      </c>
      <c r="X10" s="20">
        <v>1.5</v>
      </c>
      <c r="Y10" s="18"/>
      <c r="Z10" s="17"/>
      <c r="AA10" s="17" t="s">
        <v>219</v>
      </c>
      <c r="AB10" s="20">
        <v>0</v>
      </c>
      <c r="AC10" s="18" t="s">
        <v>304</v>
      </c>
      <c r="AD10" s="23" t="s">
        <v>305</v>
      </c>
      <c r="AE10" s="17" t="s">
        <v>303</v>
      </c>
      <c r="AF10" s="20">
        <v>0.5</v>
      </c>
      <c r="AG10" s="29">
        <f t="shared" si="0"/>
        <v>2.25</v>
      </c>
    </row>
    <row r="11" spans="1:33" customFormat="1" ht="79.95" customHeight="1" x14ac:dyDescent="0.3">
      <c r="A11" s="38" t="s">
        <v>8</v>
      </c>
      <c r="B11" s="18"/>
      <c r="C11" s="17"/>
      <c r="D11" s="17"/>
      <c r="E11" s="20">
        <v>0</v>
      </c>
      <c r="F11" s="18"/>
      <c r="G11" s="17"/>
      <c r="H11" s="17" t="s">
        <v>219</v>
      </c>
      <c r="I11" s="20">
        <v>0</v>
      </c>
      <c r="J11" s="19" t="s">
        <v>28</v>
      </c>
      <c r="K11" s="17" t="s">
        <v>29</v>
      </c>
      <c r="L11" s="17">
        <v>2</v>
      </c>
      <c r="M11" s="25">
        <f t="shared" si="1"/>
        <v>0.5</v>
      </c>
      <c r="N11" s="19"/>
      <c r="O11" s="1"/>
      <c r="P11" s="1" t="s">
        <v>219</v>
      </c>
      <c r="Q11" s="1"/>
      <c r="R11" s="1"/>
      <c r="S11" s="1" t="s">
        <v>219</v>
      </c>
      <c r="T11" s="20">
        <v>0</v>
      </c>
      <c r="U11" s="18"/>
      <c r="V11" s="17"/>
      <c r="W11" s="17" t="s">
        <v>219</v>
      </c>
      <c r="X11" s="20">
        <v>0</v>
      </c>
      <c r="Y11" s="18" t="s">
        <v>201</v>
      </c>
      <c r="Z11" s="23" t="s">
        <v>182</v>
      </c>
      <c r="AA11" s="17" t="s">
        <v>220</v>
      </c>
      <c r="AB11" s="20">
        <v>2</v>
      </c>
      <c r="AC11" s="18"/>
      <c r="AD11" s="17"/>
      <c r="AE11" s="17" t="s">
        <v>219</v>
      </c>
      <c r="AF11" s="20">
        <v>0</v>
      </c>
      <c r="AG11" s="29">
        <f t="shared" si="0"/>
        <v>2.5</v>
      </c>
    </row>
    <row r="12" spans="1:33" customFormat="1" ht="79.95" customHeight="1" x14ac:dyDescent="0.3">
      <c r="A12" s="38" t="s">
        <v>3</v>
      </c>
      <c r="B12" s="18"/>
      <c r="C12" s="17"/>
      <c r="D12" s="17"/>
      <c r="E12" s="20">
        <v>0</v>
      </c>
      <c r="F12" s="18"/>
      <c r="G12" s="17"/>
      <c r="H12" s="17" t="s">
        <v>219</v>
      </c>
      <c r="I12" s="20">
        <v>0</v>
      </c>
      <c r="J12" s="19"/>
      <c r="K12" s="17"/>
      <c r="L12" s="17"/>
      <c r="M12" s="25">
        <f t="shared" si="1"/>
        <v>0</v>
      </c>
      <c r="N12" s="19"/>
      <c r="O12" s="2"/>
      <c r="P12" s="1" t="s">
        <v>219</v>
      </c>
      <c r="Q12" s="1"/>
      <c r="R12" s="1"/>
      <c r="S12" s="1" t="s">
        <v>219</v>
      </c>
      <c r="T12" s="20">
        <v>0</v>
      </c>
      <c r="U12" s="18"/>
      <c r="V12" s="17"/>
      <c r="W12" s="17" t="s">
        <v>219</v>
      </c>
      <c r="X12" s="20">
        <v>0</v>
      </c>
      <c r="Y12" s="18" t="s">
        <v>152</v>
      </c>
      <c r="Z12" s="17" t="s">
        <v>153</v>
      </c>
      <c r="AA12" s="17" t="s">
        <v>220</v>
      </c>
      <c r="AB12" s="20">
        <v>2</v>
      </c>
      <c r="AC12" s="18"/>
      <c r="AD12" s="17"/>
      <c r="AE12" s="17" t="s">
        <v>219</v>
      </c>
      <c r="AF12" s="20">
        <v>0</v>
      </c>
      <c r="AG12" s="29">
        <f t="shared" si="0"/>
        <v>2</v>
      </c>
    </row>
    <row r="13" spans="1:33" customFormat="1" ht="112.2" customHeight="1" thickBot="1" x14ac:dyDescent="0.35">
      <c r="A13" s="110" t="s">
        <v>290</v>
      </c>
      <c r="B13" s="122"/>
      <c r="C13" s="117"/>
      <c r="D13" s="117"/>
      <c r="E13" s="119">
        <v>0</v>
      </c>
      <c r="F13" s="122"/>
      <c r="G13" s="117"/>
      <c r="H13" s="117" t="s">
        <v>219</v>
      </c>
      <c r="I13" s="119">
        <v>0</v>
      </c>
      <c r="J13" s="111"/>
      <c r="K13" s="117"/>
      <c r="L13" s="117"/>
      <c r="M13" s="173">
        <f t="shared" si="1"/>
        <v>0</v>
      </c>
      <c r="N13" s="111"/>
      <c r="O13" s="116"/>
      <c r="P13" s="116" t="s">
        <v>219</v>
      </c>
      <c r="Q13" s="116"/>
      <c r="R13" s="116"/>
      <c r="S13" s="116" t="s">
        <v>219</v>
      </c>
      <c r="T13" s="119">
        <v>0</v>
      </c>
      <c r="U13" s="122"/>
      <c r="V13" s="117"/>
      <c r="W13" s="117" t="s">
        <v>219</v>
      </c>
      <c r="X13" s="119">
        <v>0</v>
      </c>
      <c r="Y13" s="122"/>
      <c r="Z13" s="117"/>
      <c r="AA13" s="117" t="s">
        <v>219</v>
      </c>
      <c r="AB13" s="119">
        <v>0</v>
      </c>
      <c r="AC13" s="122"/>
      <c r="AD13" s="117"/>
      <c r="AE13" s="117" t="s">
        <v>219</v>
      </c>
      <c r="AF13" s="119">
        <v>0</v>
      </c>
      <c r="AG13" s="126">
        <f t="shared" si="0"/>
        <v>0</v>
      </c>
    </row>
    <row r="14" spans="1:33" ht="111" customHeight="1" x14ac:dyDescent="0.3"/>
  </sheetData>
  <autoFilter ref="A1:AG13" xr:uid="{53564B13-26DB-4F64-AEB8-74607E59223E}">
    <sortState xmlns:xlrd2="http://schemas.microsoft.com/office/spreadsheetml/2017/richdata2" ref="A2:AG13">
      <sortCondition descending="1" ref="AG1:AG13"/>
    </sortState>
  </autoFilter>
  <conditionalFormatting sqref="AG2:AG13">
    <cfRule type="colorScale" priority="1">
      <colorScale>
        <cfvo type="min"/>
        <cfvo type="num" val="15"/>
        <color rgb="FFFCFCFF"/>
        <color rgb="FF63BE7B"/>
      </colorScale>
    </cfRule>
  </conditionalFormatting>
  <hyperlinks>
    <hyperlink ref="C2" r:id="rId1" display="https://www.electrive.com/2021/10/07/bmw-invests-in-new-lithium-mining-process/" xr:uid="{00D2B420-5607-42C0-BD5F-ABA220BD5CD9}"/>
    <hyperlink ref="C4" r:id="rId2" xr:uid="{D8B03614-D02B-4779-A63C-1D2AB8B394DD}"/>
    <hyperlink ref="Z4" r:id="rId3" display="https://group.mercedes-benz.com/documents/sustainability/society/daimler-principles-of-social-responsibility-and-human-rights-en-20211124.pdf " xr:uid="{25EEA960-80D9-45C4-92D9-A51A90D04ACE}"/>
    <hyperlink ref="Z3" r:id="rId4" xr:uid="{8137C2AC-ABEB-4C37-9D61-B1F9185B7EE1}"/>
    <hyperlink ref="Z11" r:id="rId5" xr:uid="{47B81D16-4D26-435C-B23B-328B7D29A0FA}"/>
    <hyperlink ref="Z5" r:id="rId6" xr:uid="{D6172A67-BD97-4CBE-A93F-FC5F544DB8E3}"/>
    <hyperlink ref="Z7" r:id="rId7" xr:uid="{EF8B5851-8DE0-4E8B-9E31-962DB347D582}"/>
    <hyperlink ref="O4" r:id="rId8" display="https://supplier.mercedes-benz.com/servlet/JiveServlet/download/2672-9-3352/V052022_Responsible+Sourcing+Standards_EN.pdf " xr:uid="{34E40AB2-107C-4B38-A725-CB4C2FB08452}"/>
    <hyperlink ref="R9" r:id="rId9" xr:uid="{0CC6117D-918F-43A4-9FCA-A17F7E8323BB}"/>
    <hyperlink ref="R6" r:id="rId10" xr:uid="{C696CEB0-6366-4C77-9499-B75D0487E7C2}"/>
    <hyperlink ref="V3" r:id="rId11" xr:uid="{A9AD68BF-AC13-43A2-A106-F49235F9E9FA}"/>
    <hyperlink ref="R7" r:id="rId12" xr:uid="{7FB0F328-12FF-49CA-882D-36323D4EE799}"/>
    <hyperlink ref="R2" r:id="rId13" xr:uid="{72712778-90C6-4259-9886-1458339AC53F}"/>
    <hyperlink ref="AD9" r:id="rId14" xr:uid="{391025A7-F9B0-4165-89D1-71D7EC0AF510}"/>
    <hyperlink ref="AD10" r:id="rId15" xr:uid="{01E3C3D3-83B4-44BF-B09F-7547EC5E982D}"/>
    <hyperlink ref="G8" r:id="rId16" xr:uid="{ED59BE99-11D5-4268-AEDE-A9F8750ED2BB}"/>
    <hyperlink ref="Z8" r:id="rId17" location="responsible-sourcing-policies" xr:uid="{170F6AE4-4535-4BEA-A822-710CB10F8FD2}"/>
    <hyperlink ref="O8" r:id="rId18" xr:uid="{068C8FE0-291F-4C2B-BE46-ADE5C363ABBD}"/>
    <hyperlink ref="K8" r:id="rId19" display="https://www.mining-technology.com/news/tesla-joins-fair-cobalt-alliance/" xr:uid="{CFD0D562-7F92-457B-A2B2-77A5B6BCC7C4}"/>
    <hyperlink ref="V8" r:id="rId20" xr:uid="{858898BC-BED2-46C3-A9D0-CD8532376E56}"/>
    <hyperlink ref="R8" r:id="rId21" xr:uid="{83083851-2586-4ECE-96E2-21D6AC5AABAB}"/>
  </hyperlinks>
  <pageMargins left="0.7" right="0.7" top="0.75" bottom="0.75" header="0.3" footer="0.3"/>
  <pageSetup paperSize="9"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818BF-F68B-4A48-9856-C72834B60480}">
  <dimension ref="A1:E7"/>
  <sheetViews>
    <sheetView showGridLines="0" workbookViewId="0">
      <pane ySplit="1" topLeftCell="A2" activePane="bottomLeft" state="frozen"/>
      <selection activeCell="D9" sqref="D9"/>
      <selection pane="bottomLeft" activeCell="E14" sqref="E14"/>
    </sheetView>
  </sheetViews>
  <sheetFormatPr defaultRowHeight="14.4" x14ac:dyDescent="0.3"/>
  <cols>
    <col min="1" max="1" width="43.77734375" style="142" customWidth="1"/>
    <col min="2" max="2" width="33" style="142" customWidth="1"/>
    <col min="3" max="3" width="8.88671875" style="152"/>
    <col min="4" max="4" width="91.5546875" style="16" customWidth="1"/>
    <col min="5" max="5" width="31" customWidth="1"/>
  </cols>
  <sheetData>
    <row r="1" spans="1:5" ht="14.4" customHeight="1" x14ac:dyDescent="0.3">
      <c r="A1" s="287"/>
      <c r="B1" s="287"/>
      <c r="C1" s="215" t="s">
        <v>252</v>
      </c>
      <c r="D1" s="146" t="s">
        <v>266</v>
      </c>
      <c r="E1" s="215" t="s">
        <v>267</v>
      </c>
    </row>
    <row r="2" spans="1:5" ht="65.400000000000006" customHeight="1" x14ac:dyDescent="0.3">
      <c r="A2" s="288" t="s">
        <v>614</v>
      </c>
      <c r="B2" s="289"/>
      <c r="C2" s="149">
        <v>10</v>
      </c>
      <c r="D2" s="145" t="s">
        <v>615</v>
      </c>
      <c r="E2" s="13" t="s">
        <v>269</v>
      </c>
    </row>
    <row r="3" spans="1:5" ht="30" customHeight="1" x14ac:dyDescent="0.3">
      <c r="A3" s="290" t="s">
        <v>607</v>
      </c>
      <c r="B3" s="141" t="s">
        <v>372</v>
      </c>
      <c r="C3" s="214">
        <v>5</v>
      </c>
      <c r="D3" s="145" t="s">
        <v>616</v>
      </c>
      <c r="E3" s="13" t="s">
        <v>269</v>
      </c>
    </row>
    <row r="4" spans="1:5" ht="30" customHeight="1" x14ac:dyDescent="0.3">
      <c r="A4" s="290"/>
      <c r="B4" s="141" t="s">
        <v>617</v>
      </c>
      <c r="C4" s="214">
        <v>5</v>
      </c>
      <c r="D4" s="145" t="s">
        <v>618</v>
      </c>
      <c r="E4" s="13" t="s">
        <v>269</v>
      </c>
    </row>
    <row r="5" spans="1:5" ht="19.95" customHeight="1" x14ac:dyDescent="0.3">
      <c r="A5" s="290"/>
      <c r="B5" s="143" t="s">
        <v>253</v>
      </c>
      <c r="C5" s="147">
        <f>C3+C4</f>
        <v>10</v>
      </c>
      <c r="D5" s="145" t="s">
        <v>271</v>
      </c>
      <c r="E5" s="13"/>
    </row>
    <row r="6" spans="1:5" ht="65.400000000000006" customHeight="1" x14ac:dyDescent="0.3">
      <c r="A6" s="288" t="s">
        <v>619</v>
      </c>
      <c r="B6" s="289"/>
      <c r="C6" s="147">
        <v>5</v>
      </c>
      <c r="D6" s="145" t="s">
        <v>623</v>
      </c>
      <c r="E6" s="13" t="s">
        <v>269</v>
      </c>
    </row>
    <row r="7" spans="1:5" ht="19.95" customHeight="1" x14ac:dyDescent="0.35">
      <c r="A7" s="291" t="s">
        <v>620</v>
      </c>
      <c r="B7" s="292"/>
      <c r="C7" s="151">
        <f>C5+C6+C2</f>
        <v>25</v>
      </c>
      <c r="D7" s="145" t="s">
        <v>275</v>
      </c>
      <c r="E7" s="13"/>
    </row>
  </sheetData>
  <mergeCells count="5">
    <mergeCell ref="A1:B1"/>
    <mergeCell ref="A2:B2"/>
    <mergeCell ref="A3:A5"/>
    <mergeCell ref="A6:B6"/>
    <mergeCell ref="A7:B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0A55-EE36-4198-8C59-BFC4CD0290D8}">
  <dimension ref="B1:I15"/>
  <sheetViews>
    <sheetView showGridLines="0" zoomScaleNormal="100" workbookViewId="0">
      <selection activeCell="M4" sqref="M4"/>
    </sheetView>
  </sheetViews>
  <sheetFormatPr defaultRowHeight="14.4" x14ac:dyDescent="0.3"/>
  <cols>
    <col min="1" max="1" width="1.6640625" customWidth="1"/>
    <col min="2" max="2" width="21.77734375" customWidth="1"/>
    <col min="3" max="3" width="24.33203125" customWidth="1"/>
    <col min="4" max="4" width="16.21875" customWidth="1"/>
    <col min="5" max="5" width="40.77734375" style="235" customWidth="1"/>
    <col min="6" max="6" width="14.33203125" customWidth="1"/>
    <col min="7" max="7" width="27" customWidth="1"/>
    <col min="8" max="8" width="13.5546875" customWidth="1"/>
    <col min="9" max="9" width="13.88671875" customWidth="1"/>
  </cols>
  <sheetData>
    <row r="1" spans="2:9" ht="15" thickBot="1" x14ac:dyDescent="0.35"/>
    <row r="2" spans="2:9" ht="63" customHeight="1" thickBot="1" x14ac:dyDescent="0.35">
      <c r="B2" s="54" t="s">
        <v>0</v>
      </c>
      <c r="C2" s="55" t="s">
        <v>215</v>
      </c>
      <c r="D2" s="56" t="s">
        <v>606</v>
      </c>
      <c r="E2" s="57" t="s">
        <v>612</v>
      </c>
      <c r="F2" s="58" t="s">
        <v>608</v>
      </c>
      <c r="G2" s="55" t="s">
        <v>613</v>
      </c>
      <c r="H2" s="56" t="s">
        <v>621</v>
      </c>
      <c r="I2" s="60" t="s">
        <v>622</v>
      </c>
    </row>
    <row r="3" spans="2:9" ht="72" x14ac:dyDescent="0.3">
      <c r="B3" s="61" t="s">
        <v>10</v>
      </c>
      <c r="C3" s="84" t="s">
        <v>566</v>
      </c>
      <c r="D3" s="82">
        <v>10</v>
      </c>
      <c r="E3" s="236" t="s">
        <v>609</v>
      </c>
      <c r="F3" s="94">
        <v>7.5</v>
      </c>
      <c r="G3" s="84" t="s">
        <v>582</v>
      </c>
      <c r="H3" s="94">
        <v>5</v>
      </c>
      <c r="I3" s="101">
        <v>22.5</v>
      </c>
    </row>
    <row r="4" spans="2:9" ht="57.6" x14ac:dyDescent="0.3">
      <c r="B4" s="63" t="s">
        <v>6</v>
      </c>
      <c r="C4" s="85" t="s">
        <v>550</v>
      </c>
      <c r="D4" s="81">
        <v>7.5</v>
      </c>
      <c r="E4" s="237" t="s">
        <v>611</v>
      </c>
      <c r="F4" s="95">
        <v>7.5</v>
      </c>
      <c r="G4" s="98" t="s">
        <v>596</v>
      </c>
      <c r="H4" s="95">
        <v>4</v>
      </c>
      <c r="I4" s="102">
        <v>19</v>
      </c>
    </row>
    <row r="5" spans="2:9" ht="43.2" x14ac:dyDescent="0.3">
      <c r="B5" s="63" t="s">
        <v>11</v>
      </c>
      <c r="C5" s="85" t="s">
        <v>545</v>
      </c>
      <c r="D5" s="81">
        <v>7.5</v>
      </c>
      <c r="E5" s="237" t="s">
        <v>610</v>
      </c>
      <c r="F5" s="95">
        <v>5</v>
      </c>
      <c r="G5" s="98" t="s">
        <v>577</v>
      </c>
      <c r="H5" s="95">
        <v>5</v>
      </c>
      <c r="I5" s="102">
        <v>17.5</v>
      </c>
    </row>
    <row r="6" spans="2:9" ht="43.2" x14ac:dyDescent="0.3">
      <c r="B6" s="63" t="s">
        <v>5</v>
      </c>
      <c r="C6" s="85" t="s">
        <v>547</v>
      </c>
      <c r="D6" s="81">
        <v>7.5</v>
      </c>
      <c r="E6" s="237" t="s">
        <v>629</v>
      </c>
      <c r="F6" s="95">
        <v>5</v>
      </c>
      <c r="G6" s="98" t="s">
        <v>573</v>
      </c>
      <c r="H6" s="95">
        <v>2.5</v>
      </c>
      <c r="I6" s="102">
        <v>15</v>
      </c>
    </row>
    <row r="7" spans="2:9" ht="28.8" x14ac:dyDescent="0.3">
      <c r="B7" s="63" t="s">
        <v>4</v>
      </c>
      <c r="C7" s="85" t="s">
        <v>540</v>
      </c>
      <c r="D7" s="81">
        <v>10</v>
      </c>
      <c r="E7" s="237">
        <v>0</v>
      </c>
      <c r="F7" s="95">
        <v>0</v>
      </c>
      <c r="G7" s="98" t="s">
        <v>602</v>
      </c>
      <c r="H7" s="95">
        <v>4</v>
      </c>
      <c r="I7" s="102">
        <v>14</v>
      </c>
    </row>
    <row r="8" spans="2:9" ht="35.4" customHeight="1" x14ac:dyDescent="0.3">
      <c r="B8" s="63" t="s">
        <v>9</v>
      </c>
      <c r="C8" s="85" t="s">
        <v>562</v>
      </c>
      <c r="D8" s="81">
        <v>7.5</v>
      </c>
      <c r="E8" s="237">
        <v>0</v>
      </c>
      <c r="F8" s="95">
        <v>0</v>
      </c>
      <c r="G8" s="98" t="s">
        <v>605</v>
      </c>
      <c r="H8" s="95">
        <v>4</v>
      </c>
      <c r="I8" s="102">
        <v>11.5</v>
      </c>
    </row>
    <row r="9" spans="2:9" ht="50.4" customHeight="1" x14ac:dyDescent="0.3">
      <c r="B9" s="63" t="s">
        <v>1</v>
      </c>
      <c r="C9" s="85" t="s">
        <v>530</v>
      </c>
      <c r="D9" s="81">
        <v>7.5</v>
      </c>
      <c r="E9" s="237">
        <v>0</v>
      </c>
      <c r="F9" s="95">
        <v>0</v>
      </c>
      <c r="G9" s="98" t="s">
        <v>598</v>
      </c>
      <c r="H9" s="95">
        <v>2.5</v>
      </c>
      <c r="I9" s="102">
        <v>10</v>
      </c>
    </row>
    <row r="10" spans="2:9" ht="26.4" customHeight="1" x14ac:dyDescent="0.3">
      <c r="B10" s="63" t="s">
        <v>7</v>
      </c>
      <c r="C10" s="85" t="s">
        <v>555</v>
      </c>
      <c r="D10" s="81">
        <v>5</v>
      </c>
      <c r="E10" s="237">
        <v>0</v>
      </c>
      <c r="F10" s="95">
        <v>0</v>
      </c>
      <c r="G10" s="98" t="s">
        <v>573</v>
      </c>
      <c r="H10" s="95">
        <v>2.5</v>
      </c>
      <c r="I10" s="102">
        <v>7.5</v>
      </c>
    </row>
    <row r="11" spans="2:9" ht="28.8" x14ac:dyDescent="0.3">
      <c r="B11" s="63" t="s">
        <v>8</v>
      </c>
      <c r="C11" s="85" t="s">
        <v>560</v>
      </c>
      <c r="D11" s="81">
        <v>5</v>
      </c>
      <c r="E11" s="237">
        <v>0</v>
      </c>
      <c r="F11" s="95">
        <v>0</v>
      </c>
      <c r="G11" s="98" t="s">
        <v>579</v>
      </c>
      <c r="H11" s="95">
        <v>2.5</v>
      </c>
      <c r="I11" s="102">
        <v>7.5</v>
      </c>
    </row>
    <row r="12" spans="2:9" ht="28.8" x14ac:dyDescent="0.3">
      <c r="B12" s="63" t="s">
        <v>2</v>
      </c>
      <c r="C12" s="85" t="s">
        <v>595</v>
      </c>
      <c r="D12" s="81">
        <v>5</v>
      </c>
      <c r="E12" s="237">
        <v>0</v>
      </c>
      <c r="F12" s="95">
        <v>0</v>
      </c>
      <c r="G12" s="242">
        <v>0</v>
      </c>
      <c r="H12" s="95">
        <v>0</v>
      </c>
      <c r="I12" s="102">
        <v>5</v>
      </c>
    </row>
    <row r="13" spans="2:9" ht="29.4" thickBot="1" x14ac:dyDescent="0.35">
      <c r="B13" s="65" t="s">
        <v>3</v>
      </c>
      <c r="C13" s="86" t="s">
        <v>537</v>
      </c>
      <c r="D13" s="83">
        <v>5</v>
      </c>
      <c r="E13" s="238">
        <v>0</v>
      </c>
      <c r="F13" s="96">
        <v>0</v>
      </c>
      <c r="G13" s="243">
        <v>0</v>
      </c>
      <c r="H13" s="96">
        <v>0</v>
      </c>
      <c r="I13" s="103">
        <v>5</v>
      </c>
    </row>
    <row r="15" spans="2:9" s="104" customFormat="1" x14ac:dyDescent="0.3">
      <c r="B15" s="105"/>
      <c r="C15" s="16"/>
      <c r="E15" s="16"/>
      <c r="G15" s="16"/>
    </row>
  </sheetData>
  <autoFilter ref="B2:I13" xr:uid="{36AF0A55-EE36-4198-8C59-BFC4CD0290D8}"/>
  <conditionalFormatting sqref="C3:G13">
    <cfRule type="cellIs" dxfId="21" priority="6" operator="equal">
      <formula>0</formula>
    </cfRule>
  </conditionalFormatting>
  <conditionalFormatting sqref="D3:D13">
    <cfRule type="colorScale" priority="7">
      <colorScale>
        <cfvo type="num" val="0"/>
        <cfvo type="num" val="20"/>
        <color rgb="FFFCFCFF"/>
        <color rgb="FF63BE7B"/>
      </colorScale>
    </cfRule>
  </conditionalFormatting>
  <conditionalFormatting sqref="F3:F13">
    <cfRule type="colorScale" priority="3">
      <colorScale>
        <cfvo type="num" val="0"/>
        <cfvo type="num" val="10"/>
        <color rgb="FFFCFCFF"/>
        <color rgb="FF63BE7B"/>
      </colorScale>
    </cfRule>
  </conditionalFormatting>
  <conditionalFormatting sqref="H3:H13">
    <cfRule type="colorScale" priority="1">
      <colorScale>
        <cfvo type="num" val="0"/>
        <cfvo type="num" val="10"/>
        <color rgb="FFFCFCFF"/>
        <color rgb="FF63BE7B"/>
      </colorScale>
    </cfRule>
    <cfRule type="cellIs" dxfId="20" priority="2" operator="equal">
      <formula>0</formula>
    </cfRule>
  </conditionalFormatting>
  <conditionalFormatting sqref="I3:I13">
    <cfRule type="cellIs" dxfId="19" priority="46" operator="equal">
      <formula>0</formula>
    </cfRule>
    <cfRule type="colorScale" priority="47">
      <colorScale>
        <cfvo type="min"/>
        <cfvo type="num" val="40"/>
        <color rgb="FFFCFCFF"/>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EAF96-6AB0-4971-AB27-2398C9825233}">
  <dimension ref="A1:U13"/>
  <sheetViews>
    <sheetView zoomScaleNormal="100" workbookViewId="0">
      <pane xSplit="1" ySplit="1" topLeftCell="O2" activePane="bottomRight" state="frozen"/>
      <selection activeCell="D21" sqref="D21"/>
      <selection pane="topRight" activeCell="D21" sqref="D21"/>
      <selection pane="bottomLeft" activeCell="D21" sqref="D21"/>
      <selection pane="bottomRight" activeCell="T2" sqref="T2"/>
    </sheetView>
  </sheetViews>
  <sheetFormatPr defaultColWidth="15.77734375" defaultRowHeight="45" customHeight="1" x14ac:dyDescent="0.3"/>
  <cols>
    <col min="2" max="10" width="15.77734375" style="69"/>
    <col min="11" max="11" width="18.6640625" style="69" customWidth="1"/>
    <col min="12" max="12" width="22.33203125" customWidth="1"/>
    <col min="14" max="14" width="25.88671875" customWidth="1"/>
    <col min="15" max="15" width="21.33203125" style="69" customWidth="1"/>
    <col min="16" max="16" width="37.44140625" customWidth="1"/>
    <col min="19" max="19" width="15.77734375" style="69"/>
    <col min="20" max="20" width="21.33203125" style="69" customWidth="1"/>
    <col min="21" max="16384" width="15.77734375" style="69"/>
  </cols>
  <sheetData>
    <row r="1" spans="1:21" ht="45" customHeight="1" thickBot="1" x14ac:dyDescent="0.35">
      <c r="A1" s="124" t="s">
        <v>0</v>
      </c>
      <c r="B1" s="33" t="s">
        <v>520</v>
      </c>
      <c r="C1" s="33" t="s">
        <v>95</v>
      </c>
      <c r="D1" s="33" t="s">
        <v>590</v>
      </c>
      <c r="E1" s="33" t="s">
        <v>95</v>
      </c>
      <c r="F1" s="33" t="s">
        <v>521</v>
      </c>
      <c r="G1" s="33" t="s">
        <v>95</v>
      </c>
      <c r="H1" s="33" t="s">
        <v>522</v>
      </c>
      <c r="I1" s="31" t="s">
        <v>95</v>
      </c>
      <c r="J1" s="70" t="s">
        <v>523</v>
      </c>
      <c r="K1" s="74" t="s">
        <v>524</v>
      </c>
      <c r="L1" s="32" t="s">
        <v>567</v>
      </c>
      <c r="M1" s="33" t="s">
        <v>95</v>
      </c>
      <c r="N1" s="78" t="s">
        <v>120</v>
      </c>
      <c r="O1" s="74" t="s">
        <v>570</v>
      </c>
      <c r="P1" s="32" t="s">
        <v>589</v>
      </c>
      <c r="Q1" s="33" t="s">
        <v>95</v>
      </c>
      <c r="R1" s="33" t="s">
        <v>523</v>
      </c>
      <c r="S1" s="74" t="s">
        <v>625</v>
      </c>
      <c r="T1" s="74" t="s">
        <v>624</v>
      </c>
    </row>
    <row r="2" spans="1:21" ht="105.6" customHeight="1" x14ac:dyDescent="0.3">
      <c r="A2" s="123" t="s">
        <v>10</v>
      </c>
      <c r="B2" s="217" t="s">
        <v>591</v>
      </c>
      <c r="C2" s="233" t="s">
        <v>593</v>
      </c>
      <c r="D2" s="233" t="s">
        <v>592</v>
      </c>
      <c r="E2" s="233" t="s">
        <v>594</v>
      </c>
      <c r="F2" s="217" t="s">
        <v>563</v>
      </c>
      <c r="G2" s="217" t="s">
        <v>564</v>
      </c>
      <c r="H2" s="234" t="s">
        <v>532</v>
      </c>
      <c r="I2" s="218" t="s">
        <v>565</v>
      </c>
      <c r="J2" s="216" t="s">
        <v>566</v>
      </c>
      <c r="K2" s="219">
        <v>10</v>
      </c>
      <c r="L2" s="230" t="s">
        <v>588</v>
      </c>
      <c r="M2" s="114" t="s">
        <v>569</v>
      </c>
      <c r="N2" s="231" t="s">
        <v>609</v>
      </c>
      <c r="O2" s="219">
        <v>7.5</v>
      </c>
      <c r="P2" s="113" t="s">
        <v>580</v>
      </c>
      <c r="Q2" s="114" t="s">
        <v>581</v>
      </c>
      <c r="R2" s="114" t="s">
        <v>582</v>
      </c>
      <c r="S2" s="219">
        <v>5</v>
      </c>
      <c r="T2" s="219">
        <f t="shared" ref="T2:T12" si="0">O2+S2+K2</f>
        <v>22.5</v>
      </c>
      <c r="U2" s="232"/>
    </row>
    <row r="3" spans="1:21" ht="100.8" customHeight="1" x14ac:dyDescent="0.3">
      <c r="A3" s="121" t="s">
        <v>6</v>
      </c>
      <c r="B3" s="222"/>
      <c r="C3" s="222"/>
      <c r="D3" s="222" t="s">
        <v>541</v>
      </c>
      <c r="E3" s="222" t="s">
        <v>548</v>
      </c>
      <c r="F3" s="222" t="s">
        <v>529</v>
      </c>
      <c r="G3" s="222" t="s">
        <v>123</v>
      </c>
      <c r="H3" s="222" t="s">
        <v>549</v>
      </c>
      <c r="I3" s="223" t="s">
        <v>124</v>
      </c>
      <c r="J3" s="220" t="s">
        <v>550</v>
      </c>
      <c r="K3" s="224">
        <v>7.5</v>
      </c>
      <c r="L3" s="220" t="s">
        <v>586</v>
      </c>
      <c r="M3" s="1" t="s">
        <v>587</v>
      </c>
      <c r="N3" s="222" t="s">
        <v>611</v>
      </c>
      <c r="O3" s="224">
        <v>7.5</v>
      </c>
      <c r="P3" s="19" t="s">
        <v>597</v>
      </c>
      <c r="Q3" s="1" t="s">
        <v>578</v>
      </c>
      <c r="R3" s="1" t="s">
        <v>596</v>
      </c>
      <c r="S3" s="224">
        <v>4</v>
      </c>
      <c r="T3" s="224">
        <f t="shared" si="0"/>
        <v>19</v>
      </c>
      <c r="U3" s="232"/>
    </row>
    <row r="4" spans="1:21" ht="79.95" customHeight="1" x14ac:dyDescent="0.3">
      <c r="A4" s="121" t="s">
        <v>11</v>
      </c>
      <c r="B4" s="222"/>
      <c r="C4" s="222"/>
      <c r="D4" s="222" t="s">
        <v>541</v>
      </c>
      <c r="E4" s="222" t="s">
        <v>542</v>
      </c>
      <c r="F4" s="222" t="s">
        <v>13</v>
      </c>
      <c r="G4" s="222" t="s">
        <v>12</v>
      </c>
      <c r="H4" s="222" t="s">
        <v>543</v>
      </c>
      <c r="I4" s="223" t="s">
        <v>544</v>
      </c>
      <c r="J4" s="220" t="s">
        <v>545</v>
      </c>
      <c r="K4" s="224">
        <v>7.5</v>
      </c>
      <c r="L4" s="220" t="s">
        <v>583</v>
      </c>
      <c r="M4" s="1" t="s">
        <v>568</v>
      </c>
      <c r="N4" s="222" t="s">
        <v>610</v>
      </c>
      <c r="O4" s="224">
        <v>5</v>
      </c>
      <c r="P4" s="19" t="s">
        <v>574</v>
      </c>
      <c r="Q4" s="1" t="s">
        <v>575</v>
      </c>
      <c r="R4" s="1" t="s">
        <v>577</v>
      </c>
      <c r="S4" s="224">
        <v>5</v>
      </c>
      <c r="T4" s="224">
        <f t="shared" si="0"/>
        <v>17.5</v>
      </c>
      <c r="U4" s="232"/>
    </row>
    <row r="5" spans="1:21" ht="79.95" customHeight="1" x14ac:dyDescent="0.3">
      <c r="A5" s="121" t="s">
        <v>5</v>
      </c>
      <c r="B5" s="222"/>
      <c r="C5" s="222"/>
      <c r="D5" s="222" t="s">
        <v>236</v>
      </c>
      <c r="E5" s="222" t="s">
        <v>237</v>
      </c>
      <c r="F5" s="222" t="s">
        <v>546</v>
      </c>
      <c r="G5" s="222" t="s">
        <v>238</v>
      </c>
      <c r="H5" s="222"/>
      <c r="I5" s="223"/>
      <c r="J5" s="220" t="s">
        <v>547</v>
      </c>
      <c r="K5" s="224">
        <v>7.5</v>
      </c>
      <c r="L5" s="220" t="s">
        <v>584</v>
      </c>
      <c r="M5" s="1" t="s">
        <v>585</v>
      </c>
      <c r="N5" s="222" t="s">
        <v>629</v>
      </c>
      <c r="O5" s="224">
        <v>5</v>
      </c>
      <c r="P5" s="19" t="s">
        <v>601</v>
      </c>
      <c r="Q5" s="1" t="s">
        <v>576</v>
      </c>
      <c r="R5" s="1" t="s">
        <v>573</v>
      </c>
      <c r="S5" s="224">
        <v>2.5</v>
      </c>
      <c r="T5" s="224">
        <f t="shared" si="0"/>
        <v>15</v>
      </c>
      <c r="U5" s="232"/>
    </row>
    <row r="6" spans="1:21" ht="79.95" customHeight="1" x14ac:dyDescent="0.3">
      <c r="A6" s="121" t="s">
        <v>4</v>
      </c>
      <c r="B6" s="222" t="s">
        <v>599</v>
      </c>
      <c r="C6" s="222" t="s">
        <v>122</v>
      </c>
      <c r="D6" s="2"/>
      <c r="E6" s="222"/>
      <c r="F6" s="222"/>
      <c r="G6" s="222"/>
      <c r="H6" s="222" t="s">
        <v>538</v>
      </c>
      <c r="I6" s="223" t="s">
        <v>539</v>
      </c>
      <c r="J6" s="220" t="s">
        <v>540</v>
      </c>
      <c r="K6" s="224">
        <v>10</v>
      </c>
      <c r="L6" s="220"/>
      <c r="M6" s="1"/>
      <c r="N6" s="222"/>
      <c r="O6" s="224">
        <v>0</v>
      </c>
      <c r="P6" s="19" t="s">
        <v>600</v>
      </c>
      <c r="Q6" s="1" t="s">
        <v>519</v>
      </c>
      <c r="R6" s="1" t="s">
        <v>602</v>
      </c>
      <c r="S6" s="224">
        <v>4</v>
      </c>
      <c r="T6" s="224">
        <f t="shared" si="0"/>
        <v>14</v>
      </c>
      <c r="U6" s="232"/>
    </row>
    <row r="7" spans="1:21" ht="79.95" customHeight="1" x14ac:dyDescent="0.3">
      <c r="A7" s="121" t="s">
        <v>9</v>
      </c>
      <c r="B7" s="222"/>
      <c r="C7" s="222"/>
      <c r="D7" s="222" t="s">
        <v>127</v>
      </c>
      <c r="E7" s="222" t="s">
        <v>125</v>
      </c>
      <c r="F7" s="222" t="s">
        <v>561</v>
      </c>
      <c r="G7" s="222" t="s">
        <v>126</v>
      </c>
      <c r="H7" s="222"/>
      <c r="I7" s="223"/>
      <c r="J7" s="220" t="s">
        <v>562</v>
      </c>
      <c r="K7" s="224">
        <v>7.5</v>
      </c>
      <c r="L7" s="220"/>
      <c r="M7" s="1"/>
      <c r="N7" s="222"/>
      <c r="O7" s="224">
        <v>0</v>
      </c>
      <c r="P7" s="19" t="s">
        <v>603</v>
      </c>
      <c r="Q7" s="1" t="s">
        <v>144</v>
      </c>
      <c r="R7" s="1" t="s">
        <v>605</v>
      </c>
      <c r="S7" s="224">
        <v>4</v>
      </c>
      <c r="T7" s="224">
        <f t="shared" si="0"/>
        <v>11.5</v>
      </c>
      <c r="U7" s="232"/>
    </row>
    <row r="8" spans="1:21" ht="79.95" customHeight="1" x14ac:dyDescent="0.3">
      <c r="A8" s="121" t="s">
        <v>1</v>
      </c>
      <c r="B8" s="222"/>
      <c r="C8" s="222"/>
      <c r="D8" s="222" t="s">
        <v>525</v>
      </c>
      <c r="E8" s="222" t="s">
        <v>526</v>
      </c>
      <c r="F8" s="222" t="s">
        <v>527</v>
      </c>
      <c r="G8" s="222" t="s">
        <v>528</v>
      </c>
      <c r="H8" s="222" t="s">
        <v>529</v>
      </c>
      <c r="I8" s="223" t="s">
        <v>330</v>
      </c>
      <c r="J8" s="220" t="s">
        <v>530</v>
      </c>
      <c r="K8" s="224">
        <v>7.5</v>
      </c>
      <c r="L8" s="220"/>
      <c r="M8" s="1"/>
      <c r="N8" s="222"/>
      <c r="O8" s="224">
        <v>0</v>
      </c>
      <c r="P8" s="19" t="s">
        <v>571</v>
      </c>
      <c r="Q8" s="1" t="s">
        <v>572</v>
      </c>
      <c r="R8" s="1" t="s">
        <v>598</v>
      </c>
      <c r="S8" s="224">
        <v>2.5</v>
      </c>
      <c r="T8" s="224">
        <f t="shared" si="0"/>
        <v>10</v>
      </c>
      <c r="U8" s="232"/>
    </row>
    <row r="9" spans="1:21" ht="79.95" customHeight="1" x14ac:dyDescent="0.3">
      <c r="A9" s="154" t="s">
        <v>7</v>
      </c>
      <c r="B9" s="222" t="s">
        <v>551</v>
      </c>
      <c r="C9" s="222" t="s">
        <v>552</v>
      </c>
      <c r="D9" s="225"/>
      <c r="E9" s="222"/>
      <c r="F9" s="222" t="s">
        <v>553</v>
      </c>
      <c r="G9" s="222" t="s">
        <v>554</v>
      </c>
      <c r="H9" s="222"/>
      <c r="I9" s="223"/>
      <c r="J9" s="220" t="s">
        <v>555</v>
      </c>
      <c r="K9" s="224">
        <v>5</v>
      </c>
      <c r="L9" s="220"/>
      <c r="M9" s="1"/>
      <c r="N9" s="222"/>
      <c r="O9" s="224">
        <v>0</v>
      </c>
      <c r="P9" s="19" t="s">
        <v>604</v>
      </c>
      <c r="Q9" s="239" t="s">
        <v>307</v>
      </c>
      <c r="R9" s="1" t="s">
        <v>573</v>
      </c>
      <c r="S9" s="224">
        <v>2.5</v>
      </c>
      <c r="T9" s="224">
        <f t="shared" si="0"/>
        <v>7.5</v>
      </c>
      <c r="U9" s="232"/>
    </row>
    <row r="10" spans="1:21" ht="79.95" customHeight="1" x14ac:dyDescent="0.3">
      <c r="A10" s="121" t="s">
        <v>8</v>
      </c>
      <c r="B10" s="221"/>
      <c r="C10" s="222"/>
      <c r="D10" s="222"/>
      <c r="E10" s="222"/>
      <c r="F10" s="222" t="s">
        <v>556</v>
      </c>
      <c r="G10" s="222" t="s">
        <v>557</v>
      </c>
      <c r="H10" s="222" t="s">
        <v>558</v>
      </c>
      <c r="I10" s="223" t="s">
        <v>559</v>
      </c>
      <c r="J10" s="220" t="s">
        <v>560</v>
      </c>
      <c r="K10" s="224">
        <v>5</v>
      </c>
      <c r="L10" s="220"/>
      <c r="M10" s="1"/>
      <c r="N10" s="222"/>
      <c r="O10" s="224">
        <v>0</v>
      </c>
      <c r="P10" s="19" t="s">
        <v>140</v>
      </c>
      <c r="Q10" s="17" t="s">
        <v>141</v>
      </c>
      <c r="R10" s="1" t="s">
        <v>579</v>
      </c>
      <c r="S10" s="224">
        <v>2.5</v>
      </c>
      <c r="T10" s="224">
        <f t="shared" si="0"/>
        <v>7.5</v>
      </c>
      <c r="U10" s="232"/>
    </row>
    <row r="11" spans="1:21" ht="79.95" customHeight="1" x14ac:dyDescent="0.3">
      <c r="A11" s="121" t="s">
        <v>2</v>
      </c>
      <c r="B11" s="221"/>
      <c r="C11" s="222"/>
      <c r="D11" s="222"/>
      <c r="E11" s="222"/>
      <c r="F11" s="222"/>
      <c r="G11" s="222" t="s">
        <v>531</v>
      </c>
      <c r="H11" s="222" t="s">
        <v>532</v>
      </c>
      <c r="I11" s="223" t="s">
        <v>533</v>
      </c>
      <c r="J11" s="220" t="s">
        <v>595</v>
      </c>
      <c r="K11" s="224">
        <v>5</v>
      </c>
      <c r="L11" s="220"/>
      <c r="M11" s="1"/>
      <c r="N11" s="222"/>
      <c r="O11" s="224">
        <v>0</v>
      </c>
      <c r="P11" s="19"/>
      <c r="Q11" s="1"/>
      <c r="R11" s="1"/>
      <c r="S11" s="240">
        <v>0</v>
      </c>
      <c r="T11" s="224">
        <f t="shared" si="0"/>
        <v>5</v>
      </c>
      <c r="U11" s="232"/>
    </row>
    <row r="12" spans="1:21" ht="79.95" customHeight="1" thickBot="1" x14ac:dyDescent="0.35">
      <c r="A12" s="155" t="s">
        <v>3</v>
      </c>
      <c r="B12" s="227"/>
      <c r="C12" s="227"/>
      <c r="D12" s="227"/>
      <c r="E12" s="227"/>
      <c r="F12" s="227" t="s">
        <v>534</v>
      </c>
      <c r="G12" s="227" t="s">
        <v>355</v>
      </c>
      <c r="H12" s="227" t="s">
        <v>535</v>
      </c>
      <c r="I12" s="228" t="s">
        <v>536</v>
      </c>
      <c r="J12" s="226" t="s">
        <v>537</v>
      </c>
      <c r="K12" s="229">
        <v>5</v>
      </c>
      <c r="L12" s="226"/>
      <c r="M12" s="116"/>
      <c r="N12" s="227"/>
      <c r="O12" s="229">
        <v>0</v>
      </c>
      <c r="P12" s="111"/>
      <c r="Q12" s="116"/>
      <c r="R12" s="116"/>
      <c r="S12" s="241">
        <v>0</v>
      </c>
      <c r="T12" s="229">
        <f t="shared" si="0"/>
        <v>5</v>
      </c>
      <c r="U12" s="232"/>
    </row>
    <row r="13" spans="1:21" ht="45" customHeight="1" x14ac:dyDescent="0.3">
      <c r="U13" s="232"/>
    </row>
  </sheetData>
  <autoFilter ref="A1:T18" xr:uid="{C59EAF96-6AB0-4971-AB27-2398C9825233}">
    <sortState xmlns:xlrd2="http://schemas.microsoft.com/office/spreadsheetml/2017/richdata2" ref="A2:T13">
      <sortCondition descending="1" ref="T1:T18"/>
    </sortState>
  </autoFilter>
  <conditionalFormatting sqref="K2:K12 L2:O13">
    <cfRule type="colorScale" priority="3">
      <colorScale>
        <cfvo type="num" val="0"/>
        <cfvo type="num" val="10"/>
        <color rgb="FFFCFCFF"/>
        <color rgb="FF63BE7B"/>
      </colorScale>
    </cfRule>
  </conditionalFormatting>
  <conditionalFormatting sqref="T2:T12">
    <cfRule type="colorScale" priority="1">
      <colorScale>
        <cfvo type="num" val="0"/>
        <cfvo type="num" val="30"/>
        <color rgb="FFFCFCFF"/>
        <color rgb="FF63BE7B"/>
      </colorScale>
    </cfRule>
  </conditionalFormatting>
  <conditionalFormatting sqref="S2:S12">
    <cfRule type="colorScale" priority="48">
      <colorScale>
        <cfvo type="min"/>
        <cfvo type="num" val="10"/>
        <color rgb="FFFCFCFF"/>
        <color rgb="FF63BE7B"/>
      </colorScale>
    </cfRule>
  </conditionalFormatting>
  <conditionalFormatting sqref="O2:O12">
    <cfRule type="colorScale" priority="49">
      <colorScale>
        <cfvo type="min"/>
        <cfvo type="num" val="10"/>
        <color rgb="FFFCFCFF"/>
        <color rgb="FF63BE7B"/>
      </colorScale>
    </cfRule>
  </conditionalFormatting>
  <hyperlinks>
    <hyperlink ref="Q2" r:id="rId1" display="https://www.volkswagen-newsroom.com/en/press-releases/transforming-old-into-new-volkswagen-group-components-commences-battery-recycling-6789" xr:uid="{5F2EAA76-34D5-478A-BEB8-3D07EDCEEEFE}"/>
    <hyperlink ref="Q3" r:id="rId2" display="https://www.stellantis.com/en/news/press-releases/2022/october/stellantis-fosters-circular-economy-ambitions-with-dedicated-business-unit-to-power-new-era-of-sustainable-manufacturing-and-consumption" xr:uid="{8C124C38-0766-47B6-BA0C-25FCF709EE3F}"/>
    <hyperlink ref="Q7" r:id="rId3" xr:uid="{63363D8D-2750-4C1F-88CC-B98B3F921B66}"/>
    <hyperlink ref="I3" r:id="rId4" display="https://www.stellantis.com/content/dam/stellantis-corporate/investors/events/stellantis-ev-day-2021/ev_day_2021_presentation_slides.pdf" xr:uid="{CC5464AA-03A4-4327-B64A-0C4304807709}"/>
    <hyperlink ref="G7" r:id="rId5" xr:uid="{8F7C5651-487A-4847-80C6-CFF5CF2B69B1}"/>
    <hyperlink ref="C6" r:id="rId6" xr:uid="{CBD901CA-8B17-4825-9A97-B8CA8319D852}"/>
    <hyperlink ref="E8" r:id="rId7" xr:uid="{E976E231-F659-42C3-AC96-4121BEBD3228}"/>
    <hyperlink ref="G11" r:id="rId8" display="https://www.catl.com/en/news/968.html" xr:uid="{47E5D453-877F-4C1D-948F-5921BD04E844}"/>
    <hyperlink ref="G12" r:id="rId9" display="https://www.hyundai.com/worldwide/en/company/newsroom/hyundai-motor-group%2C-sk-innovation-to-collaborate-on-development-of-ev-battery-industry-ecosystem-0000016517" xr:uid="{47255017-1401-48DF-AF42-37417203B7F8}"/>
    <hyperlink ref="I12" r:id="rId10" xr:uid="{411ED253-E127-451B-AD98-BB7A1B46594C}"/>
    <hyperlink ref="I6" r:id="rId11" display="https://www.koreatimes.co.kr/www/tech/2023/07/129_255094.html" xr:uid="{0FE63BA9-49D7-42DA-9A80-C068CDC6B6C1}"/>
    <hyperlink ref="G10" r:id="rId12" xr:uid="{B13FEB14-E290-475A-9EDE-CD6E4EA7CEDE}"/>
    <hyperlink ref="E2" r:id="rId13" display="https://www.volkswagen-newsroom.com/en/press-releases/volkswagen-invests-a-further-500-million-in-sustainable-battery-activities-with-northvolt-ab-7246" xr:uid="{7638E689-44D8-425A-8809-BC21AF4938C5}"/>
    <hyperlink ref="G2" r:id="rId14" xr:uid="{4455235C-A186-4F42-B03D-14806CA21C31}"/>
    <hyperlink ref="E5" r:id="rId15" xr:uid="{7A4C4732-D104-4A09-8605-FA7B4555105C}"/>
    <hyperlink ref="C9" r:id="rId16" xr:uid="{FCE25895-9040-4AD4-8FE8-85D29D85F4DB}"/>
    <hyperlink ref="G9" r:id="rId17" xr:uid="{1D5CA10F-D5AB-4B88-87C9-1C7FAEB0CFDC}"/>
    <hyperlink ref="I8" r:id="rId18" xr:uid="{91A43282-587B-4F8B-A171-68AA53DD3567}"/>
    <hyperlink ref="Q10" r:id="rId19" xr:uid="{815176CF-2434-4479-AF20-7B8794F2C70C}"/>
    <hyperlink ref="E4" r:id="rId20" xr:uid="{16C7CF73-8BFC-4D3E-A943-D10C5831FEE7}"/>
    <hyperlink ref="E7" r:id="rId21" xr:uid="{F5BA6E7F-2DAD-4AD7-9999-712BB36B0CE5}"/>
    <hyperlink ref="M4" r:id="rId22" display="https://group.mercedes-benz.com/company/news/memorandum-of-understanding-canada.html" xr:uid="{CF3ACB38-5ABF-46A3-99E7-073BB258E832}"/>
  </hyperlinks>
  <pageMargins left="0.7" right="0.7" top="0.75" bottom="0.75" header="0.3" footer="0.3"/>
  <pageSetup paperSize="9" orientation="portrait" r:id="rId2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32D2E-C85D-4F2F-ADD3-7DE33977D0AB}">
  <sheetPr>
    <tabColor theme="9"/>
  </sheetPr>
  <dimension ref="A1"/>
  <sheetViews>
    <sheetView workbookViewId="0"/>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4AA34-A393-4D19-A2CA-A686C2E32F04}">
  <dimension ref="A1:G29"/>
  <sheetViews>
    <sheetView showGridLines="0" topLeftCell="B1" workbookViewId="0">
      <pane ySplit="1" topLeftCell="A2" activePane="bottomLeft" state="frozen"/>
      <selection activeCell="B1" sqref="B1"/>
      <selection pane="bottomLeft" activeCell="F24" sqref="F24"/>
    </sheetView>
  </sheetViews>
  <sheetFormatPr defaultRowHeight="14.4" x14ac:dyDescent="0.3"/>
  <cols>
    <col min="1" max="1" width="6" style="140" customWidth="1"/>
    <col min="2" max="2" width="7.44140625" style="139" customWidth="1"/>
    <col min="3" max="3" width="43.77734375" style="142" customWidth="1"/>
    <col min="4" max="4" width="33" style="142" customWidth="1"/>
    <col min="5" max="5" width="8.88671875" style="152"/>
    <col min="6" max="6" width="91.5546875" style="16" customWidth="1"/>
    <col min="7" max="7" width="46.5546875" customWidth="1"/>
  </cols>
  <sheetData>
    <row r="1" spans="1:7" ht="14.4" customHeight="1" x14ac:dyDescent="0.3">
      <c r="A1" s="287" t="s">
        <v>268</v>
      </c>
      <c r="B1" s="287"/>
      <c r="C1" s="287"/>
      <c r="D1" s="287"/>
      <c r="E1" s="138" t="s">
        <v>252</v>
      </c>
      <c r="F1" s="146" t="s">
        <v>266</v>
      </c>
      <c r="G1" s="138" t="s">
        <v>267</v>
      </c>
    </row>
    <row r="2" spans="1:7" ht="30" customHeight="1" x14ac:dyDescent="0.3">
      <c r="A2" s="297" t="s">
        <v>254</v>
      </c>
      <c r="B2" s="296" t="s">
        <v>688</v>
      </c>
      <c r="C2" s="294" t="s">
        <v>255</v>
      </c>
      <c r="D2" s="141" t="s">
        <v>260</v>
      </c>
      <c r="E2" s="271">
        <v>5</v>
      </c>
      <c r="F2" s="145" t="s">
        <v>671</v>
      </c>
      <c r="G2" s="13" t="s">
        <v>272</v>
      </c>
    </row>
    <row r="3" spans="1:7" ht="30" customHeight="1" x14ac:dyDescent="0.3">
      <c r="A3" s="297"/>
      <c r="B3" s="296"/>
      <c r="C3" s="294"/>
      <c r="D3" s="141" t="s">
        <v>261</v>
      </c>
      <c r="E3" s="271">
        <v>5</v>
      </c>
      <c r="F3" s="145" t="s">
        <v>672</v>
      </c>
      <c r="G3" s="13" t="s">
        <v>272</v>
      </c>
    </row>
    <row r="4" spans="1:7" ht="30" customHeight="1" x14ac:dyDescent="0.3">
      <c r="A4" s="297"/>
      <c r="B4" s="296"/>
      <c r="C4" s="294"/>
      <c r="D4" s="141" t="s">
        <v>262</v>
      </c>
      <c r="E4" s="271">
        <v>5</v>
      </c>
      <c r="F4" s="145" t="s">
        <v>673</v>
      </c>
      <c r="G4" s="13" t="s">
        <v>272</v>
      </c>
    </row>
    <row r="5" spans="1:7" ht="19.95" customHeight="1" x14ac:dyDescent="0.3">
      <c r="A5" s="297"/>
      <c r="B5" s="296"/>
      <c r="C5" s="294"/>
      <c r="D5" s="143" t="s">
        <v>253</v>
      </c>
      <c r="E5" s="147">
        <f>E2+E3+E4</f>
        <v>15</v>
      </c>
      <c r="F5" s="145" t="s">
        <v>270</v>
      </c>
      <c r="G5" s="13"/>
    </row>
    <row r="6" spans="1:7" ht="30" customHeight="1" x14ac:dyDescent="0.3">
      <c r="A6" s="297"/>
      <c r="B6" s="296"/>
      <c r="C6" s="294" t="s">
        <v>256</v>
      </c>
      <c r="D6" s="141" t="s">
        <v>97</v>
      </c>
      <c r="E6" s="144">
        <v>10</v>
      </c>
      <c r="F6" s="145" t="s">
        <v>674</v>
      </c>
      <c r="G6" s="13" t="s">
        <v>269</v>
      </c>
    </row>
    <row r="7" spans="1:7" ht="30" customHeight="1" x14ac:dyDescent="0.3">
      <c r="A7" s="297"/>
      <c r="B7" s="296"/>
      <c r="C7" s="294"/>
      <c r="D7" s="141" t="s">
        <v>98</v>
      </c>
      <c r="E7" s="144">
        <v>10</v>
      </c>
      <c r="F7" s="145" t="s">
        <v>675</v>
      </c>
      <c r="G7" s="13" t="s">
        <v>269</v>
      </c>
    </row>
    <row r="8" spans="1:7" ht="30" customHeight="1" x14ac:dyDescent="0.3">
      <c r="A8" s="297"/>
      <c r="B8" s="296"/>
      <c r="C8" s="294"/>
      <c r="D8" s="141" t="s">
        <v>99</v>
      </c>
      <c r="E8" s="144">
        <v>10</v>
      </c>
      <c r="F8" s="145" t="s">
        <v>676</v>
      </c>
      <c r="G8" s="13" t="s">
        <v>269</v>
      </c>
    </row>
    <row r="9" spans="1:7" ht="19.95" customHeight="1" x14ac:dyDescent="0.3">
      <c r="A9" s="297"/>
      <c r="B9" s="296"/>
      <c r="C9" s="294"/>
      <c r="D9" s="143" t="s">
        <v>253</v>
      </c>
      <c r="E9" s="147">
        <f>SUM(E6:E8)</f>
        <v>30</v>
      </c>
      <c r="F9" s="145" t="s">
        <v>270</v>
      </c>
      <c r="G9" s="13"/>
    </row>
    <row r="10" spans="1:7" ht="30" customHeight="1" x14ac:dyDescent="0.3">
      <c r="A10" s="297"/>
      <c r="B10" s="296"/>
      <c r="C10" s="294" t="s">
        <v>628</v>
      </c>
      <c r="D10" s="141" t="s">
        <v>372</v>
      </c>
      <c r="E10" s="144">
        <v>10</v>
      </c>
      <c r="F10" s="145" t="s">
        <v>517</v>
      </c>
      <c r="G10" s="13" t="s">
        <v>269</v>
      </c>
    </row>
    <row r="11" spans="1:7" ht="30" customHeight="1" x14ac:dyDescent="0.3">
      <c r="A11" s="297"/>
      <c r="B11" s="296"/>
      <c r="C11" s="294"/>
      <c r="D11" s="141" t="s">
        <v>373</v>
      </c>
      <c r="E11" s="144">
        <v>5</v>
      </c>
      <c r="F11" s="145" t="s">
        <v>518</v>
      </c>
      <c r="G11" s="13" t="s">
        <v>269</v>
      </c>
    </row>
    <row r="12" spans="1:7" ht="19.95" customHeight="1" x14ac:dyDescent="0.3">
      <c r="A12" s="297"/>
      <c r="B12" s="296"/>
      <c r="C12" s="294"/>
      <c r="D12" s="143" t="s">
        <v>253</v>
      </c>
      <c r="E12" s="147">
        <f>E10+E11</f>
        <v>15</v>
      </c>
      <c r="F12" s="145" t="s">
        <v>271</v>
      </c>
      <c r="G12" s="13"/>
    </row>
    <row r="13" spans="1:7" ht="19.95" customHeight="1" x14ac:dyDescent="0.3">
      <c r="A13" s="297"/>
      <c r="B13" s="296"/>
      <c r="C13" s="295" t="s">
        <v>253</v>
      </c>
      <c r="D13" s="295"/>
      <c r="E13" s="148">
        <f>E12+E9+E5</f>
        <v>60</v>
      </c>
      <c r="F13" s="145" t="s">
        <v>273</v>
      </c>
      <c r="G13" s="13"/>
    </row>
    <row r="14" spans="1:7" ht="37.200000000000003" customHeight="1" x14ac:dyDescent="0.3">
      <c r="A14" s="297"/>
      <c r="B14" s="296" t="s">
        <v>257</v>
      </c>
      <c r="C14" s="288" t="s">
        <v>258</v>
      </c>
      <c r="D14" s="289"/>
      <c r="E14" s="149">
        <v>15</v>
      </c>
      <c r="F14" s="145" t="s">
        <v>516</v>
      </c>
      <c r="G14" s="13" t="s">
        <v>269</v>
      </c>
    </row>
    <row r="15" spans="1:7" ht="31.2" customHeight="1" x14ac:dyDescent="0.3">
      <c r="A15" s="297"/>
      <c r="B15" s="296"/>
      <c r="C15" s="288" t="s">
        <v>214</v>
      </c>
      <c r="D15" s="289"/>
      <c r="E15" s="147">
        <v>5</v>
      </c>
      <c r="F15" s="145" t="s">
        <v>515</v>
      </c>
      <c r="G15" s="13" t="s">
        <v>269</v>
      </c>
    </row>
    <row r="16" spans="1:7" ht="43.2" customHeight="1" x14ac:dyDescent="0.3">
      <c r="A16" s="297"/>
      <c r="B16" s="296"/>
      <c r="C16" s="294"/>
      <c r="D16" s="141" t="s">
        <v>653</v>
      </c>
      <c r="E16" s="251">
        <v>2</v>
      </c>
      <c r="F16" s="145" t="s">
        <v>683</v>
      </c>
      <c r="G16" s="13" t="s">
        <v>430</v>
      </c>
    </row>
    <row r="17" spans="1:7" ht="43.2" customHeight="1" x14ac:dyDescent="0.3">
      <c r="A17" s="297"/>
      <c r="B17" s="296"/>
      <c r="C17" s="294"/>
      <c r="D17" s="141" t="s">
        <v>514</v>
      </c>
      <c r="E17" s="251">
        <v>2</v>
      </c>
      <c r="F17" s="145" t="s">
        <v>682</v>
      </c>
      <c r="G17" s="13" t="s">
        <v>269</v>
      </c>
    </row>
    <row r="18" spans="1:7" ht="43.2" customHeight="1" x14ac:dyDescent="0.3">
      <c r="A18" s="297"/>
      <c r="B18" s="296"/>
      <c r="C18" s="294"/>
      <c r="D18" s="141" t="s">
        <v>677</v>
      </c>
      <c r="E18" s="251">
        <v>1</v>
      </c>
      <c r="F18" s="145" t="s">
        <v>689</v>
      </c>
      <c r="G18" s="13" t="s">
        <v>269</v>
      </c>
    </row>
    <row r="19" spans="1:7" ht="19.95" customHeight="1" x14ac:dyDescent="0.3">
      <c r="A19" s="297"/>
      <c r="B19" s="296"/>
      <c r="C19" s="294"/>
      <c r="D19" s="143" t="s">
        <v>253</v>
      </c>
      <c r="E19" s="147">
        <f>E18+E17+E16</f>
        <v>5</v>
      </c>
      <c r="F19" s="145" t="s">
        <v>271</v>
      </c>
      <c r="G19" s="13"/>
    </row>
    <row r="20" spans="1:7" ht="19.95" customHeight="1" x14ac:dyDescent="0.3">
      <c r="A20" s="297"/>
      <c r="B20" s="296"/>
      <c r="C20" s="295" t="s">
        <v>253</v>
      </c>
      <c r="D20" s="295"/>
      <c r="E20" s="150">
        <f>E19+E15+E14</f>
        <v>25</v>
      </c>
      <c r="F20" s="145" t="s">
        <v>273</v>
      </c>
      <c r="G20" s="13"/>
    </row>
    <row r="21" spans="1:7" ht="30" customHeight="1" x14ac:dyDescent="0.3">
      <c r="A21" s="297"/>
      <c r="B21" s="296" t="s">
        <v>259</v>
      </c>
      <c r="C21" s="294" t="s">
        <v>295</v>
      </c>
      <c r="D21" s="294"/>
      <c r="E21" s="144">
        <v>4.5</v>
      </c>
      <c r="F21" s="145" t="s">
        <v>364</v>
      </c>
      <c r="G21" s="13" t="s">
        <v>269</v>
      </c>
    </row>
    <row r="22" spans="1:7" ht="30" customHeight="1" x14ac:dyDescent="0.3">
      <c r="A22" s="297"/>
      <c r="B22" s="296"/>
      <c r="C22" s="294" t="s">
        <v>188</v>
      </c>
      <c r="D22" s="294"/>
      <c r="E22" s="144">
        <v>3</v>
      </c>
      <c r="F22" s="145" t="s">
        <v>365</v>
      </c>
      <c r="G22" s="13" t="s">
        <v>269</v>
      </c>
    </row>
    <row r="23" spans="1:7" ht="30" customHeight="1" x14ac:dyDescent="0.3">
      <c r="A23" s="297"/>
      <c r="B23" s="296"/>
      <c r="C23" s="294" t="s">
        <v>264</v>
      </c>
      <c r="D23" s="294"/>
      <c r="E23" s="144">
        <v>1</v>
      </c>
      <c r="F23" s="145" t="s">
        <v>366</v>
      </c>
      <c r="G23" s="13" t="s">
        <v>269</v>
      </c>
    </row>
    <row r="24" spans="1:7" ht="30" customHeight="1" x14ac:dyDescent="0.3">
      <c r="A24" s="297"/>
      <c r="B24" s="296"/>
      <c r="C24" s="294" t="s">
        <v>265</v>
      </c>
      <c r="D24" s="294"/>
      <c r="E24" s="144">
        <v>2</v>
      </c>
      <c r="F24" s="145" t="s">
        <v>367</v>
      </c>
      <c r="G24" s="13" t="s">
        <v>269</v>
      </c>
    </row>
    <row r="25" spans="1:7" ht="30" customHeight="1" x14ac:dyDescent="0.3">
      <c r="A25" s="297"/>
      <c r="B25" s="296"/>
      <c r="C25" s="294" t="s">
        <v>196</v>
      </c>
      <c r="D25" s="294"/>
      <c r="E25" s="144">
        <v>1.5</v>
      </c>
      <c r="F25" s="145" t="s">
        <v>368</v>
      </c>
      <c r="G25" s="13" t="s">
        <v>269</v>
      </c>
    </row>
    <row r="26" spans="1:7" ht="30" customHeight="1" x14ac:dyDescent="0.3">
      <c r="A26" s="297"/>
      <c r="B26" s="296"/>
      <c r="C26" s="294" t="s">
        <v>156</v>
      </c>
      <c r="D26" s="294"/>
      <c r="E26" s="144">
        <v>2</v>
      </c>
      <c r="F26" s="145" t="s">
        <v>369</v>
      </c>
      <c r="G26" s="13" t="s">
        <v>269</v>
      </c>
    </row>
    <row r="27" spans="1:7" ht="30" customHeight="1" x14ac:dyDescent="0.3">
      <c r="A27" s="297"/>
      <c r="B27" s="296"/>
      <c r="C27" s="294" t="s">
        <v>148</v>
      </c>
      <c r="D27" s="294"/>
      <c r="E27" s="144">
        <v>1</v>
      </c>
      <c r="F27" s="145" t="s">
        <v>370</v>
      </c>
      <c r="G27" s="13" t="s">
        <v>269</v>
      </c>
    </row>
    <row r="28" spans="1:7" ht="19.95" customHeight="1" x14ac:dyDescent="0.3">
      <c r="A28" s="297"/>
      <c r="B28" s="296"/>
      <c r="C28" s="295" t="s">
        <v>253</v>
      </c>
      <c r="D28" s="295"/>
      <c r="E28" s="150">
        <f>SUM(E21:E27)</f>
        <v>15</v>
      </c>
      <c r="F28" s="145" t="s">
        <v>274</v>
      </c>
      <c r="G28" s="13"/>
    </row>
    <row r="29" spans="1:7" ht="19.95" customHeight="1" x14ac:dyDescent="0.35">
      <c r="A29" s="297"/>
      <c r="B29" s="293" t="s">
        <v>243</v>
      </c>
      <c r="C29" s="293"/>
      <c r="D29" s="293"/>
      <c r="E29" s="151">
        <f>E28+E20+E13</f>
        <v>100</v>
      </c>
      <c r="F29" s="145" t="s">
        <v>275</v>
      </c>
      <c r="G29" s="13"/>
    </row>
  </sheetData>
  <mergeCells count="22">
    <mergeCell ref="A1:D1"/>
    <mergeCell ref="C14:D14"/>
    <mergeCell ref="B21:B28"/>
    <mergeCell ref="C21:D21"/>
    <mergeCell ref="C22:D22"/>
    <mergeCell ref="C23:D23"/>
    <mergeCell ref="C24:D24"/>
    <mergeCell ref="C25:D25"/>
    <mergeCell ref="C26:D26"/>
    <mergeCell ref="C27:D27"/>
    <mergeCell ref="A2:A29"/>
    <mergeCell ref="C16:C19"/>
    <mergeCell ref="C20:D20"/>
    <mergeCell ref="B14:B20"/>
    <mergeCell ref="C28:D28"/>
    <mergeCell ref="C15:D15"/>
    <mergeCell ref="B29:D29"/>
    <mergeCell ref="C2:C5"/>
    <mergeCell ref="C6:C9"/>
    <mergeCell ref="C10:C12"/>
    <mergeCell ref="C13:D13"/>
    <mergeCell ref="B2:B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D7E16-E89A-4A74-AC56-8654F2367D43}">
  <sheetPr>
    <tabColor theme="5"/>
  </sheetPr>
  <dimension ref="B1:H14"/>
  <sheetViews>
    <sheetView showGridLines="0" tabSelected="1" workbookViewId="0">
      <selection activeCell="I4" sqref="I4"/>
    </sheetView>
  </sheetViews>
  <sheetFormatPr defaultRowHeight="14.4" x14ac:dyDescent="0.3"/>
  <cols>
    <col min="1" max="1" width="3.33203125" customWidth="1"/>
    <col min="2" max="2" width="17.5546875" customWidth="1"/>
    <col min="3" max="3" width="22.88671875" customWidth="1"/>
    <col min="4" max="4" width="23.88671875" customWidth="1"/>
    <col min="5" max="5" width="25.44140625" customWidth="1"/>
    <col min="6" max="6" width="14.21875" customWidth="1"/>
  </cols>
  <sheetData>
    <row r="1" spans="2:8" ht="15" thickBot="1" x14ac:dyDescent="0.35"/>
    <row r="2" spans="2:8" ht="42.6" thickBot="1" x14ac:dyDescent="0.35">
      <c r="B2" s="54" t="s">
        <v>0</v>
      </c>
      <c r="C2" s="174" t="s">
        <v>687</v>
      </c>
      <c r="D2" s="174" t="s">
        <v>664</v>
      </c>
      <c r="E2" s="174" t="s">
        <v>660</v>
      </c>
      <c r="F2" s="60" t="s">
        <v>229</v>
      </c>
    </row>
    <row r="3" spans="2:8" ht="21" x14ac:dyDescent="0.3">
      <c r="B3" s="61" t="s">
        <v>7</v>
      </c>
      <c r="C3" s="108">
        <v>46.788287811668631</v>
      </c>
      <c r="D3" s="108">
        <v>24</v>
      </c>
      <c r="E3" s="108">
        <v>9.25</v>
      </c>
      <c r="F3" s="177">
        <v>80.038287811668624</v>
      </c>
      <c r="G3" s="137"/>
      <c r="H3" s="137"/>
    </row>
    <row r="4" spans="2:8" ht="21" x14ac:dyDescent="0.3">
      <c r="B4" s="61" t="s">
        <v>10</v>
      </c>
      <c r="C4" s="108">
        <v>43.114252770794998</v>
      </c>
      <c r="D4" s="108">
        <v>21.000594266412872</v>
      </c>
      <c r="E4" s="108">
        <v>11</v>
      </c>
      <c r="F4" s="200">
        <v>75.11484703720788</v>
      </c>
      <c r="G4" s="137"/>
      <c r="H4" s="137"/>
    </row>
    <row r="5" spans="2:8" ht="21" x14ac:dyDescent="0.3">
      <c r="B5" s="63" t="s">
        <v>290</v>
      </c>
      <c r="C5" s="212">
        <v>50</v>
      </c>
      <c r="D5" s="108">
        <v>25</v>
      </c>
      <c r="E5" s="108">
        <v>0</v>
      </c>
      <c r="F5" s="246">
        <v>75</v>
      </c>
      <c r="G5" s="137"/>
      <c r="H5" s="137"/>
    </row>
    <row r="6" spans="2:8" ht="21" x14ac:dyDescent="0.3">
      <c r="B6" s="63" t="s">
        <v>2</v>
      </c>
      <c r="C6" s="108">
        <v>50</v>
      </c>
      <c r="D6" s="108">
        <v>13</v>
      </c>
      <c r="E6" s="108">
        <v>9.25</v>
      </c>
      <c r="F6" s="200">
        <v>72.25</v>
      </c>
      <c r="G6" s="137"/>
      <c r="H6" s="137"/>
    </row>
    <row r="7" spans="2:8" ht="21" x14ac:dyDescent="0.3">
      <c r="B7" s="63" t="s">
        <v>6</v>
      </c>
      <c r="C7" s="108">
        <v>39.26283828309699</v>
      </c>
      <c r="D7" s="108">
        <v>15</v>
      </c>
      <c r="E7" s="108">
        <v>10</v>
      </c>
      <c r="F7" s="200">
        <v>64.262838283096983</v>
      </c>
      <c r="G7" s="137"/>
      <c r="H7" s="137"/>
    </row>
    <row r="8" spans="2:8" ht="21" x14ac:dyDescent="0.3">
      <c r="B8" s="63" t="s">
        <v>5</v>
      </c>
      <c r="C8" s="108">
        <v>28.039817316348138</v>
      </c>
      <c r="D8" s="108">
        <v>15</v>
      </c>
      <c r="E8" s="108">
        <v>5.25</v>
      </c>
      <c r="F8" s="200">
        <v>48.289817316348135</v>
      </c>
      <c r="G8" s="137"/>
      <c r="H8" s="137"/>
    </row>
    <row r="9" spans="2:8" ht="21" x14ac:dyDescent="0.3">
      <c r="B9" s="63" t="s">
        <v>4</v>
      </c>
      <c r="C9" s="108">
        <v>22.5</v>
      </c>
      <c r="D9" s="108">
        <v>20</v>
      </c>
      <c r="E9" s="108">
        <v>2.25</v>
      </c>
      <c r="F9" s="200">
        <v>44.75</v>
      </c>
      <c r="G9" s="137"/>
      <c r="H9" s="137"/>
    </row>
    <row r="10" spans="2:8" ht="21" x14ac:dyDescent="0.3">
      <c r="B10" s="63" t="s">
        <v>11</v>
      </c>
      <c r="C10" s="108">
        <v>15.861330757499903</v>
      </c>
      <c r="D10" s="108">
        <v>16</v>
      </c>
      <c r="E10" s="108">
        <v>11.25</v>
      </c>
      <c r="F10" s="200">
        <v>43.1113307574999</v>
      </c>
      <c r="G10" s="137"/>
      <c r="H10" s="137"/>
    </row>
    <row r="11" spans="2:8" ht="21" x14ac:dyDescent="0.3">
      <c r="B11" s="63" t="s">
        <v>9</v>
      </c>
      <c r="C11" s="108">
        <v>22.5</v>
      </c>
      <c r="D11" s="108">
        <v>13</v>
      </c>
      <c r="E11" s="108">
        <v>7.25</v>
      </c>
      <c r="F11" s="200">
        <v>42.75</v>
      </c>
      <c r="G11" s="137"/>
      <c r="H11" s="137"/>
    </row>
    <row r="12" spans="2:8" ht="21" x14ac:dyDescent="0.3">
      <c r="B12" s="63" t="s">
        <v>8</v>
      </c>
      <c r="C12" s="108">
        <v>17.736963279457491</v>
      </c>
      <c r="D12" s="108">
        <v>19</v>
      </c>
      <c r="E12" s="108">
        <v>2.5</v>
      </c>
      <c r="F12" s="200">
        <v>39.236963279457491</v>
      </c>
      <c r="G12" s="137"/>
      <c r="H12" s="137"/>
    </row>
    <row r="13" spans="2:8" ht="21" x14ac:dyDescent="0.3">
      <c r="B13" s="63" t="s">
        <v>1</v>
      </c>
      <c r="C13" s="108">
        <v>10.850602201837784</v>
      </c>
      <c r="D13" s="108">
        <v>13</v>
      </c>
      <c r="E13" s="108">
        <v>12</v>
      </c>
      <c r="F13" s="200">
        <v>35.850602201837788</v>
      </c>
      <c r="G13" s="137"/>
      <c r="H13" s="137"/>
    </row>
    <row r="14" spans="2:8" ht="21.6" thickBot="1" x14ac:dyDescent="0.35">
      <c r="B14" s="65" t="s">
        <v>3</v>
      </c>
      <c r="C14" s="109">
        <v>10</v>
      </c>
      <c r="D14" s="109">
        <v>13</v>
      </c>
      <c r="E14" s="109">
        <v>2</v>
      </c>
      <c r="F14" s="247">
        <v>25</v>
      </c>
      <c r="G14" s="137"/>
      <c r="H14" s="137"/>
    </row>
  </sheetData>
  <autoFilter ref="B2:F2" xr:uid="{B16D7E16-E89A-4A74-AC56-8654F2367D43}">
    <sortState xmlns:xlrd2="http://schemas.microsoft.com/office/spreadsheetml/2017/richdata2" ref="B3:F14">
      <sortCondition descending="1" ref="F2"/>
    </sortState>
  </autoFilter>
  <conditionalFormatting sqref="C3:E14">
    <cfRule type="cellIs" dxfId="3" priority="17" operator="equal">
      <formula>0</formula>
    </cfRule>
  </conditionalFormatting>
  <conditionalFormatting sqref="C3:C14">
    <cfRule type="colorScale" priority="18">
      <colorScale>
        <cfvo type="min"/>
        <cfvo type="num" val="60"/>
        <color rgb="FFFCFCFF"/>
        <color theme="4"/>
      </colorScale>
    </cfRule>
  </conditionalFormatting>
  <conditionalFormatting sqref="F3:F14">
    <cfRule type="cellIs" dxfId="2" priority="15" operator="equal">
      <formula>0</formula>
    </cfRule>
    <cfRule type="colorScale" priority="16">
      <colorScale>
        <cfvo type="min"/>
        <cfvo type="num" val="100"/>
        <color rgb="FFFCFCFF"/>
        <color rgb="FF63BE7B"/>
      </colorScale>
    </cfRule>
  </conditionalFormatting>
  <conditionalFormatting sqref="E3:E14">
    <cfRule type="colorScale" priority="14">
      <colorScale>
        <cfvo type="min"/>
        <cfvo type="num" val="15"/>
        <color rgb="FFFCFCFF"/>
        <color theme="4"/>
      </colorScale>
    </cfRule>
  </conditionalFormatting>
  <conditionalFormatting sqref="D3:D14">
    <cfRule type="colorScale" priority="7">
      <colorScale>
        <cfvo type="min"/>
        <cfvo type="num" val="25"/>
        <color rgb="FFFCFCFF"/>
        <color theme="4"/>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DDF94-E0D0-4617-BE39-2957E978F953}">
  <sheetPr>
    <tabColor theme="5" tint="0.79998168889431442"/>
  </sheetPr>
  <dimension ref="B2:R30"/>
  <sheetViews>
    <sheetView showGridLines="0" zoomScale="80" zoomScaleNormal="80" workbookViewId="0">
      <pane ySplit="2" topLeftCell="A3" activePane="bottomLeft" state="frozen"/>
      <selection activeCell="G12" sqref="G12"/>
      <selection pane="bottomLeft" activeCell="J33" sqref="J33"/>
    </sheetView>
  </sheetViews>
  <sheetFormatPr defaultRowHeight="14.4" x14ac:dyDescent="0.3"/>
  <cols>
    <col min="1" max="1" width="3.5546875" customWidth="1"/>
    <col min="2" max="2" width="6" style="140" customWidth="1"/>
    <col min="3" max="3" width="7.44140625" style="139" customWidth="1"/>
    <col min="4" max="4" width="43.77734375" style="142" customWidth="1"/>
    <col min="5" max="5" width="55" style="142" customWidth="1"/>
    <col min="6" max="6" width="8.88671875" style="152"/>
    <col min="7" max="7" width="9.88671875" customWidth="1"/>
    <col min="8" max="8" width="10.109375" customWidth="1"/>
    <col min="9" max="9" width="11.88671875" customWidth="1"/>
    <col min="10" max="10" width="10.5546875" customWidth="1"/>
    <col min="11" max="11" width="11.88671875" customWidth="1"/>
    <col min="12" max="12" width="9.5546875" customWidth="1"/>
    <col min="13" max="14" width="11.88671875" customWidth="1"/>
    <col min="15" max="15" width="10.33203125" customWidth="1"/>
    <col min="16" max="17" width="11.88671875" customWidth="1"/>
    <col min="18" max="18" width="10.44140625" customWidth="1"/>
  </cols>
  <sheetData>
    <row r="2" spans="2:18" s="194" customFormat="1" ht="27" customHeight="1" x14ac:dyDescent="0.3">
      <c r="B2" s="298"/>
      <c r="C2" s="298"/>
      <c r="D2" s="298"/>
      <c r="E2" s="298"/>
      <c r="F2" s="192" t="s">
        <v>252</v>
      </c>
      <c r="G2" s="193" t="s">
        <v>1</v>
      </c>
      <c r="H2" s="193" t="s">
        <v>290</v>
      </c>
      <c r="I2" s="193" t="s">
        <v>11</v>
      </c>
      <c r="J2" s="193" t="s">
        <v>2</v>
      </c>
      <c r="K2" s="193" t="s">
        <v>3</v>
      </c>
      <c r="L2" s="193" t="s">
        <v>4</v>
      </c>
      <c r="M2" s="193" t="s">
        <v>5</v>
      </c>
      <c r="N2" s="193" t="s">
        <v>6</v>
      </c>
      <c r="O2" s="193" t="s">
        <v>7</v>
      </c>
      <c r="P2" s="193" t="s">
        <v>8</v>
      </c>
      <c r="Q2" s="193" t="s">
        <v>9</v>
      </c>
      <c r="R2" s="193" t="s">
        <v>10</v>
      </c>
    </row>
    <row r="3" spans="2:18" ht="13.95" customHeight="1" x14ac:dyDescent="0.3">
      <c r="B3" s="302" t="s">
        <v>254</v>
      </c>
      <c r="C3" s="301" t="s">
        <v>688</v>
      </c>
      <c r="D3" s="294" t="s">
        <v>255</v>
      </c>
      <c r="E3" s="141" t="s">
        <v>260</v>
      </c>
      <c r="F3" s="178">
        <v>5</v>
      </c>
      <c r="G3" s="189">
        <v>0.85060220183778346</v>
      </c>
      <c r="H3" s="189">
        <v>0</v>
      </c>
      <c r="I3" s="189">
        <v>0.86133075749990284</v>
      </c>
      <c r="J3" s="189">
        <v>5</v>
      </c>
      <c r="K3" s="189">
        <v>0</v>
      </c>
      <c r="L3" s="189">
        <v>0</v>
      </c>
      <c r="M3" s="189">
        <v>4.6101045061603516</v>
      </c>
      <c r="N3" s="189">
        <v>2.3516728389120303</v>
      </c>
      <c r="O3" s="189">
        <v>3.9292454763388971</v>
      </c>
      <c r="P3" s="189">
        <v>0.23696327945749077</v>
      </c>
      <c r="Q3" s="189">
        <v>0</v>
      </c>
      <c r="R3" s="189">
        <v>2.3676004916643557E-2</v>
      </c>
    </row>
    <row r="4" spans="2:18" ht="13.95" customHeight="1" x14ac:dyDescent="0.3">
      <c r="B4" s="302"/>
      <c r="C4" s="301"/>
      <c r="D4" s="294"/>
      <c r="E4" s="141" t="s">
        <v>261</v>
      </c>
      <c r="F4" s="178">
        <v>5</v>
      </c>
      <c r="G4" s="189">
        <v>0</v>
      </c>
      <c r="H4" s="189">
        <v>5</v>
      </c>
      <c r="I4" s="189">
        <v>0</v>
      </c>
      <c r="J4" s="189">
        <v>5</v>
      </c>
      <c r="K4" s="189">
        <v>0</v>
      </c>
      <c r="L4" s="189">
        <v>0</v>
      </c>
      <c r="M4" s="189">
        <v>2.4570368615286466</v>
      </c>
      <c r="N4" s="189">
        <v>0.41350920235183747</v>
      </c>
      <c r="O4" s="189">
        <v>0.35904233532973001</v>
      </c>
      <c r="P4" s="189">
        <v>0</v>
      </c>
      <c r="Q4" s="189">
        <v>0</v>
      </c>
      <c r="R4" s="189">
        <v>5</v>
      </c>
    </row>
    <row r="5" spans="2:18" ht="13.95" customHeight="1" x14ac:dyDescent="0.3">
      <c r="B5" s="302"/>
      <c r="C5" s="301"/>
      <c r="D5" s="294"/>
      <c r="E5" s="141" t="s">
        <v>262</v>
      </c>
      <c r="F5" s="178">
        <v>5</v>
      </c>
      <c r="G5" s="189">
        <v>0</v>
      </c>
      <c r="H5" s="189">
        <v>5</v>
      </c>
      <c r="I5" s="189">
        <v>0</v>
      </c>
      <c r="J5" s="189">
        <v>0</v>
      </c>
      <c r="K5" s="189">
        <v>0</v>
      </c>
      <c r="L5" s="189">
        <v>0</v>
      </c>
      <c r="M5" s="189">
        <v>0.97267594865914186</v>
      </c>
      <c r="N5" s="189">
        <v>1.4976562418331187</v>
      </c>
      <c r="O5" s="189">
        <v>5</v>
      </c>
      <c r="P5" s="189">
        <v>0</v>
      </c>
      <c r="Q5" s="189">
        <v>0</v>
      </c>
      <c r="R5" s="189">
        <v>3.0905767658783532</v>
      </c>
    </row>
    <row r="6" spans="2:18" ht="13.95" customHeight="1" x14ac:dyDescent="0.3">
      <c r="B6" s="302"/>
      <c r="C6" s="301"/>
      <c r="D6" s="294"/>
      <c r="E6" s="143" t="s">
        <v>253</v>
      </c>
      <c r="F6" s="147">
        <v>15</v>
      </c>
      <c r="G6" s="191">
        <v>0.85060220183778346</v>
      </c>
      <c r="H6" s="191">
        <v>10</v>
      </c>
      <c r="I6" s="191">
        <v>0.86133075749990284</v>
      </c>
      <c r="J6" s="191">
        <v>10</v>
      </c>
      <c r="K6" s="191">
        <v>0</v>
      </c>
      <c r="L6" s="191">
        <v>0</v>
      </c>
      <c r="M6" s="191">
        <v>8.0398173163481399</v>
      </c>
      <c r="N6" s="191">
        <v>4.2628382830969862</v>
      </c>
      <c r="O6" s="191">
        <v>9.2882878116686278</v>
      </c>
      <c r="P6" s="191">
        <v>0.23696327945749077</v>
      </c>
      <c r="Q6" s="191">
        <v>0</v>
      </c>
      <c r="R6" s="191">
        <v>8.1142527707949963</v>
      </c>
    </row>
    <row r="7" spans="2:18" ht="13.95" customHeight="1" x14ac:dyDescent="0.3">
      <c r="B7" s="302"/>
      <c r="C7" s="301"/>
      <c r="D7" s="294" t="s">
        <v>256</v>
      </c>
      <c r="E7" s="141" t="s">
        <v>97</v>
      </c>
      <c r="F7" s="175">
        <v>10</v>
      </c>
      <c r="G7" s="189">
        <v>10</v>
      </c>
      <c r="H7" s="189">
        <v>10</v>
      </c>
      <c r="I7" s="189">
        <v>5</v>
      </c>
      <c r="J7" s="189">
        <v>10</v>
      </c>
      <c r="K7" s="189">
        <v>0</v>
      </c>
      <c r="L7" s="189">
        <v>5</v>
      </c>
      <c r="M7" s="189">
        <v>10</v>
      </c>
      <c r="N7" s="189">
        <v>10</v>
      </c>
      <c r="O7" s="189">
        <v>10</v>
      </c>
      <c r="P7" s="189">
        <v>10</v>
      </c>
      <c r="Q7" s="189">
        <v>5</v>
      </c>
      <c r="R7" s="189">
        <v>5</v>
      </c>
    </row>
    <row r="8" spans="2:18" ht="13.95" customHeight="1" x14ac:dyDescent="0.3">
      <c r="B8" s="302"/>
      <c r="C8" s="301"/>
      <c r="D8" s="294"/>
      <c r="E8" s="141" t="s">
        <v>98</v>
      </c>
      <c r="F8" s="175">
        <v>10</v>
      </c>
      <c r="G8" s="189">
        <v>0</v>
      </c>
      <c r="H8" s="189">
        <v>10</v>
      </c>
      <c r="I8" s="189">
        <v>0</v>
      </c>
      <c r="J8" s="189">
        <v>10</v>
      </c>
      <c r="K8" s="189">
        <v>10</v>
      </c>
      <c r="L8" s="189">
        <v>5</v>
      </c>
      <c r="M8" s="189">
        <v>5</v>
      </c>
      <c r="N8" s="189">
        <v>10</v>
      </c>
      <c r="O8" s="189">
        <v>5</v>
      </c>
      <c r="P8" s="189">
        <v>2.5</v>
      </c>
      <c r="Q8" s="189">
        <v>5</v>
      </c>
      <c r="R8" s="189">
        <v>10</v>
      </c>
    </row>
    <row r="9" spans="2:18" ht="13.95" customHeight="1" x14ac:dyDescent="0.3">
      <c r="B9" s="302"/>
      <c r="C9" s="301"/>
      <c r="D9" s="294"/>
      <c r="E9" s="141" t="s">
        <v>99</v>
      </c>
      <c r="F9" s="175">
        <v>10</v>
      </c>
      <c r="G9" s="189">
        <v>0</v>
      </c>
      <c r="H9" s="189">
        <v>10</v>
      </c>
      <c r="I9" s="189">
        <v>0</v>
      </c>
      <c r="J9" s="189">
        <v>10</v>
      </c>
      <c r="K9" s="189">
        <v>0</v>
      </c>
      <c r="L9" s="189">
        <v>5</v>
      </c>
      <c r="M9" s="189">
        <v>5</v>
      </c>
      <c r="N9" s="189">
        <v>10</v>
      </c>
      <c r="O9" s="189">
        <v>10</v>
      </c>
      <c r="P9" s="189">
        <v>0</v>
      </c>
      <c r="Q9" s="189">
        <v>5</v>
      </c>
      <c r="R9" s="189">
        <v>10</v>
      </c>
    </row>
    <row r="10" spans="2:18" ht="13.95" customHeight="1" x14ac:dyDescent="0.3">
      <c r="B10" s="302"/>
      <c r="C10" s="301"/>
      <c r="D10" s="294"/>
      <c r="E10" s="143" t="s">
        <v>253</v>
      </c>
      <c r="F10" s="147">
        <v>30</v>
      </c>
      <c r="G10" s="191">
        <v>10</v>
      </c>
      <c r="H10" s="191">
        <v>30</v>
      </c>
      <c r="I10" s="191">
        <v>5</v>
      </c>
      <c r="J10" s="191">
        <v>30</v>
      </c>
      <c r="K10" s="191">
        <v>10</v>
      </c>
      <c r="L10" s="191">
        <v>15</v>
      </c>
      <c r="M10" s="191">
        <v>20</v>
      </c>
      <c r="N10" s="191">
        <v>30</v>
      </c>
      <c r="O10" s="191">
        <v>25</v>
      </c>
      <c r="P10" s="191">
        <v>12.5</v>
      </c>
      <c r="Q10" s="191">
        <v>15</v>
      </c>
      <c r="R10" s="191">
        <v>25</v>
      </c>
    </row>
    <row r="11" spans="2:18" ht="13.95" customHeight="1" x14ac:dyDescent="0.3">
      <c r="B11" s="302"/>
      <c r="C11" s="301"/>
      <c r="D11" s="304" t="s">
        <v>628</v>
      </c>
      <c r="E11" s="248" t="s">
        <v>372</v>
      </c>
      <c r="F11" s="249">
        <v>10</v>
      </c>
      <c r="G11" s="250">
        <v>0</v>
      </c>
      <c r="H11" s="250">
        <v>10</v>
      </c>
      <c r="I11" s="250">
        <v>5</v>
      </c>
      <c r="J11" s="250">
        <v>10</v>
      </c>
      <c r="K11" s="250">
        <v>0</v>
      </c>
      <c r="L11" s="250">
        <v>5</v>
      </c>
      <c r="M11" s="250">
        <v>0</v>
      </c>
      <c r="N11" s="250">
        <v>5</v>
      </c>
      <c r="O11" s="250">
        <v>10</v>
      </c>
      <c r="P11" s="250">
        <v>5</v>
      </c>
      <c r="Q11" s="250">
        <v>5</v>
      </c>
      <c r="R11" s="250">
        <v>10</v>
      </c>
    </row>
    <row r="12" spans="2:18" ht="13.95" customHeight="1" x14ac:dyDescent="0.3">
      <c r="B12" s="302"/>
      <c r="C12" s="301"/>
      <c r="D12" s="305"/>
      <c r="E12" s="248" t="s">
        <v>373</v>
      </c>
      <c r="F12" s="249">
        <v>5</v>
      </c>
      <c r="G12" s="250">
        <v>0</v>
      </c>
      <c r="H12" s="250">
        <v>0</v>
      </c>
      <c r="I12" s="250">
        <v>5</v>
      </c>
      <c r="J12" s="250">
        <v>0</v>
      </c>
      <c r="K12" s="250">
        <v>0</v>
      </c>
      <c r="L12" s="250">
        <v>2.5</v>
      </c>
      <c r="M12" s="250">
        <v>0</v>
      </c>
      <c r="N12" s="250">
        <v>0</v>
      </c>
      <c r="O12" s="250">
        <v>2.5</v>
      </c>
      <c r="P12" s="250">
        <v>0</v>
      </c>
      <c r="Q12" s="250">
        <v>2.5</v>
      </c>
      <c r="R12" s="250">
        <v>0</v>
      </c>
    </row>
    <row r="13" spans="2:18" ht="13.95" customHeight="1" x14ac:dyDescent="0.3">
      <c r="B13" s="302"/>
      <c r="C13" s="301"/>
      <c r="D13" s="306"/>
      <c r="E13" s="143" t="s">
        <v>253</v>
      </c>
      <c r="F13" s="147">
        <v>15</v>
      </c>
      <c r="G13" s="191">
        <v>0</v>
      </c>
      <c r="H13" s="191">
        <v>10</v>
      </c>
      <c r="I13" s="191">
        <v>10</v>
      </c>
      <c r="J13" s="191">
        <v>10</v>
      </c>
      <c r="K13" s="191">
        <v>0</v>
      </c>
      <c r="L13" s="191">
        <v>7.5</v>
      </c>
      <c r="M13" s="191">
        <v>0</v>
      </c>
      <c r="N13" s="191">
        <v>5</v>
      </c>
      <c r="O13" s="191">
        <v>12.5</v>
      </c>
      <c r="P13" s="191">
        <v>5</v>
      </c>
      <c r="Q13" s="191">
        <v>7.5</v>
      </c>
      <c r="R13" s="191">
        <v>10</v>
      </c>
    </row>
    <row r="14" spans="2:18" ht="13.95" customHeight="1" x14ac:dyDescent="0.3">
      <c r="B14" s="302"/>
      <c r="C14" s="301"/>
      <c r="D14" s="299" t="s">
        <v>253</v>
      </c>
      <c r="E14" s="300"/>
      <c r="F14" s="148">
        <v>60</v>
      </c>
      <c r="G14" s="190">
        <v>10.850602201837784</v>
      </c>
      <c r="H14" s="190">
        <v>50</v>
      </c>
      <c r="I14" s="190">
        <v>15.861330757499903</v>
      </c>
      <c r="J14" s="190">
        <v>50</v>
      </c>
      <c r="K14" s="190">
        <v>10</v>
      </c>
      <c r="L14" s="190">
        <v>22.5</v>
      </c>
      <c r="M14" s="190">
        <v>28.039817316348138</v>
      </c>
      <c r="N14" s="190">
        <v>39.26283828309699</v>
      </c>
      <c r="O14" s="190">
        <v>46.788287811668631</v>
      </c>
      <c r="P14" s="190">
        <v>17.736963279457491</v>
      </c>
      <c r="Q14" s="190">
        <v>22.5</v>
      </c>
      <c r="R14" s="190">
        <v>43.114252770794998</v>
      </c>
    </row>
    <row r="15" spans="2:18" ht="16.8" customHeight="1" x14ac:dyDescent="0.3">
      <c r="B15" s="302"/>
      <c r="C15" s="301" t="s">
        <v>690</v>
      </c>
      <c r="D15" s="288" t="s">
        <v>258</v>
      </c>
      <c r="E15" s="289"/>
      <c r="F15" s="149">
        <v>15</v>
      </c>
      <c r="G15" s="191">
        <v>10</v>
      </c>
      <c r="H15" s="191">
        <v>15</v>
      </c>
      <c r="I15" s="191">
        <v>10</v>
      </c>
      <c r="J15" s="191">
        <v>10</v>
      </c>
      <c r="K15" s="191">
        <v>10</v>
      </c>
      <c r="L15" s="191">
        <v>15</v>
      </c>
      <c r="M15" s="191">
        <v>10</v>
      </c>
      <c r="N15" s="191">
        <v>10</v>
      </c>
      <c r="O15" s="191">
        <v>15</v>
      </c>
      <c r="P15" s="191">
        <v>15</v>
      </c>
      <c r="Q15" s="191">
        <v>10</v>
      </c>
      <c r="R15" s="191">
        <v>15</v>
      </c>
    </row>
    <row r="16" spans="2:18" ht="15.6" customHeight="1" x14ac:dyDescent="0.3">
      <c r="B16" s="302"/>
      <c r="C16" s="301"/>
      <c r="D16" s="288" t="s">
        <v>371</v>
      </c>
      <c r="E16" s="289"/>
      <c r="F16" s="147">
        <v>5</v>
      </c>
      <c r="G16" s="191">
        <v>2</v>
      </c>
      <c r="H16" s="191">
        <v>5</v>
      </c>
      <c r="I16" s="191">
        <v>5</v>
      </c>
      <c r="J16" s="191">
        <v>2</v>
      </c>
      <c r="K16" s="191">
        <v>2</v>
      </c>
      <c r="L16" s="191">
        <v>4</v>
      </c>
      <c r="M16" s="191">
        <v>4</v>
      </c>
      <c r="N16" s="191">
        <v>4</v>
      </c>
      <c r="O16" s="191">
        <v>5</v>
      </c>
      <c r="P16" s="191">
        <v>2</v>
      </c>
      <c r="Q16" s="191">
        <v>2</v>
      </c>
      <c r="R16" s="191">
        <v>5</v>
      </c>
    </row>
    <row r="17" spans="2:18" ht="13.95" customHeight="1" x14ac:dyDescent="0.3">
      <c r="B17" s="302"/>
      <c r="C17" s="301"/>
      <c r="D17" s="294" t="s">
        <v>667</v>
      </c>
      <c r="E17" s="141" t="s">
        <v>653</v>
      </c>
      <c r="F17" s="175">
        <v>2</v>
      </c>
      <c r="G17" s="189">
        <v>0</v>
      </c>
      <c r="H17" s="189">
        <v>2</v>
      </c>
      <c r="I17" s="189">
        <v>0</v>
      </c>
      <c r="J17" s="189">
        <v>0</v>
      </c>
      <c r="K17" s="189">
        <v>0</v>
      </c>
      <c r="L17" s="189">
        <v>0</v>
      </c>
      <c r="M17" s="189">
        <v>0</v>
      </c>
      <c r="N17" s="189">
        <v>0</v>
      </c>
      <c r="O17" s="189">
        <v>2</v>
      </c>
      <c r="P17" s="189">
        <v>0</v>
      </c>
      <c r="Q17" s="189">
        <v>0</v>
      </c>
      <c r="R17" s="189">
        <v>5.9426641287245766E-4</v>
      </c>
    </row>
    <row r="18" spans="2:18" ht="13.95" customHeight="1" x14ac:dyDescent="0.3">
      <c r="B18" s="302"/>
      <c r="C18" s="301"/>
      <c r="D18" s="294"/>
      <c r="E18" s="141" t="s">
        <v>663</v>
      </c>
      <c r="F18" s="175">
        <v>2</v>
      </c>
      <c r="G18" s="189">
        <v>1</v>
      </c>
      <c r="H18" s="189">
        <v>2</v>
      </c>
      <c r="I18" s="189">
        <v>1</v>
      </c>
      <c r="J18" s="189">
        <v>1</v>
      </c>
      <c r="K18" s="189">
        <v>1</v>
      </c>
      <c r="L18" s="189">
        <v>1</v>
      </c>
      <c r="M18" s="189">
        <v>1</v>
      </c>
      <c r="N18" s="189">
        <v>1</v>
      </c>
      <c r="O18" s="189">
        <v>2</v>
      </c>
      <c r="P18" s="189">
        <v>2</v>
      </c>
      <c r="Q18" s="189">
        <v>1</v>
      </c>
      <c r="R18" s="189">
        <v>1</v>
      </c>
    </row>
    <row r="19" spans="2:18" ht="13.95" customHeight="1" x14ac:dyDescent="0.3">
      <c r="B19" s="302"/>
      <c r="C19" s="301"/>
      <c r="D19" s="294"/>
      <c r="E19" s="141" t="s">
        <v>677</v>
      </c>
      <c r="F19" s="251">
        <v>1</v>
      </c>
      <c r="G19" s="189">
        <v>0</v>
      </c>
      <c r="H19" s="189">
        <v>1</v>
      </c>
      <c r="I19" s="189">
        <v>0</v>
      </c>
      <c r="J19" s="189">
        <v>0</v>
      </c>
      <c r="K19" s="189">
        <v>0</v>
      </c>
      <c r="L19" s="189">
        <v>0</v>
      </c>
      <c r="M19" s="189">
        <v>0</v>
      </c>
      <c r="N19" s="189">
        <v>0</v>
      </c>
      <c r="O19" s="189">
        <v>0</v>
      </c>
      <c r="P19" s="189">
        <v>0</v>
      </c>
      <c r="Q19" s="189">
        <v>0</v>
      </c>
      <c r="R19" s="189">
        <v>0</v>
      </c>
    </row>
    <row r="20" spans="2:18" ht="13.95" customHeight="1" x14ac:dyDescent="0.3">
      <c r="B20" s="302"/>
      <c r="C20" s="301"/>
      <c r="D20" s="294"/>
      <c r="E20" s="143" t="s">
        <v>253</v>
      </c>
      <c r="F20" s="147">
        <v>5</v>
      </c>
      <c r="G20" s="191">
        <v>1</v>
      </c>
      <c r="H20" s="191">
        <v>5</v>
      </c>
      <c r="I20" s="191">
        <v>1</v>
      </c>
      <c r="J20" s="191">
        <v>1</v>
      </c>
      <c r="K20" s="191">
        <v>1</v>
      </c>
      <c r="L20" s="191">
        <v>1</v>
      </c>
      <c r="M20" s="191">
        <v>1</v>
      </c>
      <c r="N20" s="191">
        <v>1</v>
      </c>
      <c r="O20" s="191">
        <v>4</v>
      </c>
      <c r="P20" s="191">
        <v>2</v>
      </c>
      <c r="Q20" s="191">
        <v>1</v>
      </c>
      <c r="R20" s="191">
        <v>1.0005942664128724</v>
      </c>
    </row>
    <row r="21" spans="2:18" ht="13.95" customHeight="1" x14ac:dyDescent="0.3">
      <c r="B21" s="302"/>
      <c r="C21" s="301"/>
      <c r="D21" s="295" t="s">
        <v>253</v>
      </c>
      <c r="E21" s="295"/>
      <c r="F21" s="176">
        <v>25</v>
      </c>
      <c r="G21" s="190">
        <v>13</v>
      </c>
      <c r="H21" s="190">
        <v>25</v>
      </c>
      <c r="I21" s="190">
        <v>16</v>
      </c>
      <c r="J21" s="190">
        <v>13</v>
      </c>
      <c r="K21" s="190">
        <v>13</v>
      </c>
      <c r="L21" s="190">
        <v>20</v>
      </c>
      <c r="M21" s="190">
        <v>15</v>
      </c>
      <c r="N21" s="190">
        <v>15</v>
      </c>
      <c r="O21" s="190">
        <v>24</v>
      </c>
      <c r="P21" s="190">
        <v>19</v>
      </c>
      <c r="Q21" s="190">
        <v>13</v>
      </c>
      <c r="R21" s="190">
        <v>21.000594266412872</v>
      </c>
    </row>
    <row r="22" spans="2:18" ht="13.95" customHeight="1" x14ac:dyDescent="0.3">
      <c r="B22" s="302"/>
      <c r="C22" s="301" t="s">
        <v>259</v>
      </c>
      <c r="D22" s="294" t="s">
        <v>295</v>
      </c>
      <c r="E22" s="294"/>
      <c r="F22" s="175">
        <v>4.5</v>
      </c>
      <c r="G22" s="189">
        <v>1.5</v>
      </c>
      <c r="H22" s="189">
        <v>0</v>
      </c>
      <c r="I22" s="189">
        <v>1.5</v>
      </c>
      <c r="J22" s="189">
        <v>1.5</v>
      </c>
      <c r="K22" s="189">
        <v>0</v>
      </c>
      <c r="L22" s="189">
        <v>0</v>
      </c>
      <c r="M22" s="189">
        <v>3</v>
      </c>
      <c r="N22" s="189">
        <v>4.5</v>
      </c>
      <c r="O22" s="189">
        <v>0</v>
      </c>
      <c r="P22" s="189">
        <v>0</v>
      </c>
      <c r="Q22" s="189">
        <v>0</v>
      </c>
      <c r="R22" s="189">
        <v>1.5</v>
      </c>
    </row>
    <row r="23" spans="2:18" ht="13.95" customHeight="1" x14ac:dyDescent="0.3">
      <c r="B23" s="302"/>
      <c r="C23" s="301"/>
      <c r="D23" s="294" t="s">
        <v>188</v>
      </c>
      <c r="E23" s="294"/>
      <c r="F23" s="175">
        <v>3</v>
      </c>
      <c r="G23" s="189">
        <v>3</v>
      </c>
      <c r="H23" s="189">
        <v>0</v>
      </c>
      <c r="I23" s="189">
        <v>3</v>
      </c>
      <c r="J23" s="189">
        <v>1.5</v>
      </c>
      <c r="K23" s="189">
        <v>0</v>
      </c>
      <c r="L23" s="189">
        <v>0</v>
      </c>
      <c r="M23" s="189">
        <v>1.5</v>
      </c>
      <c r="N23" s="189">
        <v>1.5</v>
      </c>
      <c r="O23" s="189">
        <v>3</v>
      </c>
      <c r="P23" s="189">
        <v>0</v>
      </c>
      <c r="Q23" s="189">
        <v>3</v>
      </c>
      <c r="R23" s="189">
        <v>3</v>
      </c>
    </row>
    <row r="24" spans="2:18" ht="13.95" customHeight="1" x14ac:dyDescent="0.3">
      <c r="B24" s="302"/>
      <c r="C24" s="301"/>
      <c r="D24" s="294" t="s">
        <v>264</v>
      </c>
      <c r="E24" s="294"/>
      <c r="F24" s="175">
        <v>1</v>
      </c>
      <c r="G24" s="189">
        <v>1</v>
      </c>
      <c r="H24" s="189">
        <v>0</v>
      </c>
      <c r="I24" s="189">
        <v>0.75</v>
      </c>
      <c r="J24" s="189">
        <v>0.75</v>
      </c>
      <c r="K24" s="189">
        <v>0</v>
      </c>
      <c r="L24" s="189">
        <v>0.25</v>
      </c>
      <c r="M24" s="189">
        <v>0.25</v>
      </c>
      <c r="N24" s="189">
        <v>0.5</v>
      </c>
      <c r="O24" s="189">
        <v>0.75</v>
      </c>
      <c r="P24" s="189">
        <v>0.5</v>
      </c>
      <c r="Q24" s="189">
        <v>0.75</v>
      </c>
      <c r="R24" s="189">
        <v>1</v>
      </c>
    </row>
    <row r="25" spans="2:18" ht="13.95" customHeight="1" x14ac:dyDescent="0.3">
      <c r="B25" s="302"/>
      <c r="C25" s="301"/>
      <c r="D25" s="294" t="s">
        <v>265</v>
      </c>
      <c r="E25" s="294"/>
      <c r="F25" s="175">
        <v>2</v>
      </c>
      <c r="G25" s="189">
        <v>2</v>
      </c>
      <c r="H25" s="189">
        <v>0</v>
      </c>
      <c r="I25" s="189">
        <v>2</v>
      </c>
      <c r="J25" s="189">
        <v>2</v>
      </c>
      <c r="K25" s="189">
        <v>0</v>
      </c>
      <c r="L25" s="189">
        <v>0</v>
      </c>
      <c r="M25" s="189">
        <v>0</v>
      </c>
      <c r="N25" s="189">
        <v>0</v>
      </c>
      <c r="O25" s="189">
        <v>2</v>
      </c>
      <c r="P25" s="189">
        <v>0</v>
      </c>
      <c r="Q25" s="189">
        <v>0</v>
      </c>
      <c r="R25" s="189">
        <v>2</v>
      </c>
    </row>
    <row r="26" spans="2:18" ht="13.95" customHeight="1" x14ac:dyDescent="0.3">
      <c r="B26" s="302"/>
      <c r="C26" s="301"/>
      <c r="D26" s="294" t="s">
        <v>196</v>
      </c>
      <c r="E26" s="294"/>
      <c r="F26" s="175">
        <v>1.5</v>
      </c>
      <c r="G26" s="189">
        <v>1.5</v>
      </c>
      <c r="H26" s="189">
        <v>0</v>
      </c>
      <c r="I26" s="189">
        <v>1.5</v>
      </c>
      <c r="J26" s="189">
        <v>1.5</v>
      </c>
      <c r="K26" s="189">
        <v>0</v>
      </c>
      <c r="L26" s="189">
        <v>1.5</v>
      </c>
      <c r="M26" s="189">
        <v>0</v>
      </c>
      <c r="N26" s="189">
        <v>1.5</v>
      </c>
      <c r="O26" s="189">
        <v>1.5</v>
      </c>
      <c r="P26" s="189">
        <v>0</v>
      </c>
      <c r="Q26" s="189">
        <v>1.5</v>
      </c>
      <c r="R26" s="189">
        <v>1.5</v>
      </c>
    </row>
    <row r="27" spans="2:18" ht="13.95" customHeight="1" x14ac:dyDescent="0.3">
      <c r="B27" s="302"/>
      <c r="C27" s="301"/>
      <c r="D27" s="294" t="s">
        <v>156</v>
      </c>
      <c r="E27" s="294"/>
      <c r="F27" s="175">
        <v>2</v>
      </c>
      <c r="G27" s="189">
        <v>2</v>
      </c>
      <c r="H27" s="189">
        <v>0</v>
      </c>
      <c r="I27" s="189">
        <v>2</v>
      </c>
      <c r="J27" s="189">
        <v>2</v>
      </c>
      <c r="K27" s="189">
        <v>2</v>
      </c>
      <c r="L27" s="189">
        <v>0</v>
      </c>
      <c r="M27" s="189">
        <v>0</v>
      </c>
      <c r="N27" s="189">
        <v>2</v>
      </c>
      <c r="O27" s="189">
        <v>2</v>
      </c>
      <c r="P27" s="189">
        <v>2</v>
      </c>
      <c r="Q27" s="189">
        <v>2</v>
      </c>
      <c r="R27" s="189">
        <v>2</v>
      </c>
    </row>
    <row r="28" spans="2:18" ht="13.95" customHeight="1" x14ac:dyDescent="0.3">
      <c r="B28" s="302"/>
      <c r="C28" s="301"/>
      <c r="D28" s="294" t="s">
        <v>148</v>
      </c>
      <c r="E28" s="294"/>
      <c r="F28" s="175">
        <v>1</v>
      </c>
      <c r="G28" s="189">
        <v>1</v>
      </c>
      <c r="H28" s="189">
        <v>0</v>
      </c>
      <c r="I28" s="189">
        <v>0.5</v>
      </c>
      <c r="J28" s="189">
        <v>0</v>
      </c>
      <c r="K28" s="189">
        <v>0</v>
      </c>
      <c r="L28" s="189">
        <v>0.5</v>
      </c>
      <c r="M28" s="189">
        <v>0.5</v>
      </c>
      <c r="N28" s="189">
        <v>0</v>
      </c>
      <c r="O28" s="189">
        <v>0</v>
      </c>
      <c r="P28" s="189">
        <v>0</v>
      </c>
      <c r="Q28" s="189">
        <v>0</v>
      </c>
      <c r="R28" s="189">
        <v>0</v>
      </c>
    </row>
    <row r="29" spans="2:18" ht="13.95" customHeight="1" x14ac:dyDescent="0.3">
      <c r="B29" s="302"/>
      <c r="C29" s="301"/>
      <c r="D29" s="295" t="s">
        <v>253</v>
      </c>
      <c r="E29" s="295"/>
      <c r="F29" s="176">
        <v>15</v>
      </c>
      <c r="G29" s="190">
        <v>12</v>
      </c>
      <c r="H29" s="190">
        <v>0</v>
      </c>
      <c r="I29" s="190">
        <v>11.25</v>
      </c>
      <c r="J29" s="190">
        <v>9.25</v>
      </c>
      <c r="K29" s="190">
        <v>2</v>
      </c>
      <c r="L29" s="190">
        <v>2.25</v>
      </c>
      <c r="M29" s="190">
        <v>5.25</v>
      </c>
      <c r="N29" s="190">
        <v>10</v>
      </c>
      <c r="O29" s="190">
        <v>9.25</v>
      </c>
      <c r="P29" s="190">
        <v>2.5</v>
      </c>
      <c r="Q29" s="190">
        <v>7.25</v>
      </c>
      <c r="R29" s="190">
        <v>11</v>
      </c>
    </row>
    <row r="30" spans="2:18" ht="19.95" customHeight="1" x14ac:dyDescent="0.3">
      <c r="B30" s="302"/>
      <c r="C30" s="303" t="s">
        <v>243</v>
      </c>
      <c r="D30" s="303"/>
      <c r="E30" s="303"/>
      <c r="F30" s="151">
        <v>100</v>
      </c>
      <c r="G30" s="195">
        <v>35.850602201837788</v>
      </c>
      <c r="H30" s="195">
        <v>75</v>
      </c>
      <c r="I30" s="195">
        <v>43.1113307574999</v>
      </c>
      <c r="J30" s="195">
        <v>72.25</v>
      </c>
      <c r="K30" s="195">
        <v>25</v>
      </c>
      <c r="L30" s="195">
        <v>44.75</v>
      </c>
      <c r="M30" s="195">
        <v>48.289817316348135</v>
      </c>
      <c r="N30" s="195">
        <v>64.262838283096983</v>
      </c>
      <c r="O30" s="195">
        <v>80.038287811668624</v>
      </c>
      <c r="P30" s="195">
        <v>39.236963279457491</v>
      </c>
      <c r="Q30" s="195">
        <v>42.75</v>
      </c>
      <c r="R30" s="195">
        <v>75.11484703720788</v>
      </c>
    </row>
  </sheetData>
  <mergeCells count="22">
    <mergeCell ref="D26:E26"/>
    <mergeCell ref="D27:E27"/>
    <mergeCell ref="D28:E28"/>
    <mergeCell ref="C3:C14"/>
    <mergeCell ref="D3:D6"/>
    <mergeCell ref="D11:D13"/>
    <mergeCell ref="B2:E2"/>
    <mergeCell ref="D7:D10"/>
    <mergeCell ref="D14:E14"/>
    <mergeCell ref="C15:C21"/>
    <mergeCell ref="D15:E15"/>
    <mergeCell ref="D17:D20"/>
    <mergeCell ref="D16:E16"/>
    <mergeCell ref="B3:B30"/>
    <mergeCell ref="D29:E29"/>
    <mergeCell ref="C30:E30"/>
    <mergeCell ref="D21:E21"/>
    <mergeCell ref="C22:C29"/>
    <mergeCell ref="D22:E22"/>
    <mergeCell ref="D23:E23"/>
    <mergeCell ref="D24:E24"/>
    <mergeCell ref="D25:E2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E4315-2F44-4CA6-807E-355FA6A565E2}">
  <sheetPr>
    <tabColor theme="8"/>
  </sheetPr>
  <dimension ref="B1:T20"/>
  <sheetViews>
    <sheetView showGridLines="0" workbookViewId="0">
      <pane xSplit="2" ySplit="2" topLeftCell="J3" activePane="bottomRight" state="frozen"/>
      <selection pane="topRight" activeCell="C1" sqref="C1"/>
      <selection pane="bottomLeft" activeCell="A3" sqref="A3"/>
      <selection pane="bottomRight" activeCell="T16" sqref="T16"/>
    </sheetView>
  </sheetViews>
  <sheetFormatPr defaultColWidth="22.21875" defaultRowHeight="14.4" x14ac:dyDescent="0.3"/>
  <cols>
    <col min="1" max="1" width="3.5546875" customWidth="1"/>
    <col min="2" max="2" width="18.77734375" customWidth="1"/>
    <col min="3" max="3" width="12" bestFit="1" customWidth="1"/>
    <col min="4" max="4" width="9.44140625" customWidth="1"/>
    <col min="5" max="5" width="12.109375" bestFit="1" customWidth="1"/>
    <col min="6" max="6" width="9" customWidth="1"/>
    <col min="7" max="7" width="12.33203125" bestFit="1" customWidth="1"/>
    <col min="8" max="8" width="9" customWidth="1"/>
    <col min="9" max="9" width="32.21875" customWidth="1"/>
    <col min="10" max="10" width="11" customWidth="1"/>
    <col min="11" max="11" width="32.77734375" customWidth="1"/>
    <col min="12" max="12" width="13.33203125" customWidth="1"/>
    <col min="13" max="13" width="27.21875" customWidth="1"/>
    <col min="14" max="14" width="11.33203125" customWidth="1"/>
    <col min="15" max="15" width="26.6640625" customWidth="1"/>
    <col min="16" max="16" width="13.88671875" customWidth="1"/>
    <col min="17" max="17" width="26.6640625" customWidth="1"/>
    <col min="18" max="19" width="12.33203125" customWidth="1"/>
    <col min="20" max="20" width="19.6640625" customWidth="1"/>
  </cols>
  <sheetData>
    <row r="1" spans="2:20" ht="15" thickBot="1" x14ac:dyDescent="0.35"/>
    <row r="2" spans="2:20" ht="29.4" thickBot="1" x14ac:dyDescent="0.35">
      <c r="B2" s="54" t="s">
        <v>0</v>
      </c>
      <c r="C2" s="55" t="s">
        <v>91</v>
      </c>
      <c r="D2" s="56" t="s">
        <v>644</v>
      </c>
      <c r="E2" s="57" t="s">
        <v>92</v>
      </c>
      <c r="F2" s="58" t="s">
        <v>645</v>
      </c>
      <c r="G2" s="55" t="s">
        <v>94</v>
      </c>
      <c r="H2" s="56" t="s">
        <v>645</v>
      </c>
      <c r="I2" s="57" t="s">
        <v>113</v>
      </c>
      <c r="J2" s="56" t="s">
        <v>646</v>
      </c>
      <c r="K2" s="59" t="s">
        <v>109</v>
      </c>
      <c r="L2" s="56" t="s">
        <v>646</v>
      </c>
      <c r="M2" s="59" t="s">
        <v>112</v>
      </c>
      <c r="N2" s="56" t="s">
        <v>646</v>
      </c>
      <c r="O2" s="59" t="s">
        <v>372</v>
      </c>
      <c r="P2" s="58" t="s">
        <v>646</v>
      </c>
      <c r="Q2" s="55" t="s">
        <v>373</v>
      </c>
      <c r="R2" s="56" t="s">
        <v>647</v>
      </c>
      <c r="S2" s="281" t="s">
        <v>691</v>
      </c>
      <c r="T2" s="60" t="s">
        <v>651</v>
      </c>
    </row>
    <row r="3" spans="2:20" ht="63.6" customHeight="1" x14ac:dyDescent="0.3">
      <c r="B3" s="61" t="s">
        <v>290</v>
      </c>
      <c r="C3" s="49">
        <v>0</v>
      </c>
      <c r="D3" s="50">
        <v>0</v>
      </c>
      <c r="E3" s="51">
        <v>1</v>
      </c>
      <c r="F3" s="52">
        <v>5</v>
      </c>
      <c r="G3" s="49">
        <v>1</v>
      </c>
      <c r="H3" s="50">
        <v>5</v>
      </c>
      <c r="I3" s="131" t="s">
        <v>340</v>
      </c>
      <c r="J3" s="129">
        <v>10</v>
      </c>
      <c r="K3" s="132" t="s">
        <v>344</v>
      </c>
      <c r="L3" s="129">
        <v>10</v>
      </c>
      <c r="M3" s="284" t="s">
        <v>328</v>
      </c>
      <c r="N3" s="129">
        <v>10</v>
      </c>
      <c r="O3" s="53" t="s">
        <v>375</v>
      </c>
      <c r="P3" s="203">
        <v>10</v>
      </c>
      <c r="Q3" s="131">
        <v>0</v>
      </c>
      <c r="R3" s="210">
        <v>0</v>
      </c>
      <c r="S3" s="282">
        <v>10</v>
      </c>
      <c r="T3" s="62">
        <v>50</v>
      </c>
    </row>
    <row r="4" spans="2:20" ht="67.8" customHeight="1" x14ac:dyDescent="0.3">
      <c r="B4" s="63" t="s">
        <v>2</v>
      </c>
      <c r="C4" s="41">
        <v>0.60125758707383015</v>
      </c>
      <c r="D4" s="42">
        <v>5</v>
      </c>
      <c r="E4" s="40">
        <v>0.73755277983661893</v>
      </c>
      <c r="F4" s="45">
        <v>5</v>
      </c>
      <c r="G4" s="41">
        <v>0</v>
      </c>
      <c r="H4" s="42">
        <v>0</v>
      </c>
      <c r="I4" s="47" t="s">
        <v>630</v>
      </c>
      <c r="J4" s="42">
        <v>10</v>
      </c>
      <c r="K4" s="39" t="s">
        <v>631</v>
      </c>
      <c r="L4" s="42">
        <v>10</v>
      </c>
      <c r="M4" s="39" t="s">
        <v>278</v>
      </c>
      <c r="N4" s="42">
        <v>10</v>
      </c>
      <c r="O4" s="47" t="s">
        <v>381</v>
      </c>
      <c r="P4" s="204">
        <v>10</v>
      </c>
      <c r="Q4" s="47">
        <v>0</v>
      </c>
      <c r="R4" s="207">
        <v>0</v>
      </c>
      <c r="S4" s="207">
        <v>10</v>
      </c>
      <c r="T4" s="64">
        <v>50</v>
      </c>
    </row>
    <row r="5" spans="2:20" ht="69.599999999999994" customHeight="1" x14ac:dyDescent="0.3">
      <c r="B5" s="63" t="s">
        <v>7</v>
      </c>
      <c r="C5" s="41">
        <v>0.39292454763388973</v>
      </c>
      <c r="D5" s="42">
        <v>3.9292454763388971</v>
      </c>
      <c r="E5" s="40">
        <v>3.5904233532973E-2</v>
      </c>
      <c r="F5" s="45">
        <v>0.35904233532973001</v>
      </c>
      <c r="G5" s="41">
        <v>1</v>
      </c>
      <c r="H5" s="42">
        <v>5</v>
      </c>
      <c r="I5" s="47" t="s">
        <v>398</v>
      </c>
      <c r="J5" s="42">
        <v>10</v>
      </c>
      <c r="K5" s="39" t="s">
        <v>327</v>
      </c>
      <c r="L5" s="42">
        <v>5</v>
      </c>
      <c r="M5" s="39" t="s">
        <v>328</v>
      </c>
      <c r="N5" s="42">
        <v>10</v>
      </c>
      <c r="O5" s="47" t="s">
        <v>390</v>
      </c>
      <c r="P5" s="204">
        <v>10</v>
      </c>
      <c r="Q5" s="47" t="s">
        <v>377</v>
      </c>
      <c r="R5" s="207">
        <v>2.5</v>
      </c>
      <c r="S5" s="207">
        <v>12.5</v>
      </c>
      <c r="T5" s="64">
        <v>46.788287811668631</v>
      </c>
    </row>
    <row r="6" spans="2:20" ht="43.2" x14ac:dyDescent="0.3">
      <c r="B6" s="63" t="s">
        <v>10</v>
      </c>
      <c r="C6" s="41">
        <v>2.3676004916643556E-3</v>
      </c>
      <c r="D6" s="42">
        <v>2.3676004916643557E-2</v>
      </c>
      <c r="E6" s="40">
        <v>0.58655415498668217</v>
      </c>
      <c r="F6" s="45">
        <v>5</v>
      </c>
      <c r="G6" s="41">
        <v>0.30905767658783534</v>
      </c>
      <c r="H6" s="42">
        <v>3.0905767658783532</v>
      </c>
      <c r="I6" s="47" t="s">
        <v>119</v>
      </c>
      <c r="J6" s="42">
        <v>5</v>
      </c>
      <c r="K6" s="39" t="s">
        <v>643</v>
      </c>
      <c r="L6" s="42">
        <v>10</v>
      </c>
      <c r="M6" s="39" t="s">
        <v>117</v>
      </c>
      <c r="N6" s="42">
        <v>10</v>
      </c>
      <c r="O6" s="47" t="s">
        <v>397</v>
      </c>
      <c r="P6" s="204">
        <v>10</v>
      </c>
      <c r="Q6" s="47">
        <v>0</v>
      </c>
      <c r="R6" s="207">
        <v>0</v>
      </c>
      <c r="S6" s="207">
        <v>10</v>
      </c>
      <c r="T6" s="64">
        <v>43.114252770794998</v>
      </c>
    </row>
    <row r="7" spans="2:20" ht="43.2" x14ac:dyDescent="0.3">
      <c r="B7" s="63" t="s">
        <v>6</v>
      </c>
      <c r="C7" s="41">
        <v>0.23516728389120301</v>
      </c>
      <c r="D7" s="42">
        <v>2.3516728389120303</v>
      </c>
      <c r="E7" s="40">
        <v>4.1350920235183747E-2</v>
      </c>
      <c r="F7" s="45">
        <v>0.41350920235183747</v>
      </c>
      <c r="G7" s="41">
        <v>0.14976562418331188</v>
      </c>
      <c r="H7" s="42">
        <v>1.4976562418331187</v>
      </c>
      <c r="I7" s="47" t="s">
        <v>284</v>
      </c>
      <c r="J7" s="42">
        <v>10</v>
      </c>
      <c r="K7" s="39" t="s">
        <v>335</v>
      </c>
      <c r="L7" s="42">
        <v>10</v>
      </c>
      <c r="M7" s="39" t="s">
        <v>116</v>
      </c>
      <c r="N7" s="42">
        <v>10</v>
      </c>
      <c r="O7" s="47" t="s">
        <v>377</v>
      </c>
      <c r="P7" s="204">
        <v>5</v>
      </c>
      <c r="Q7" s="47">
        <v>0</v>
      </c>
      <c r="R7" s="207">
        <v>0</v>
      </c>
      <c r="S7" s="207">
        <v>5</v>
      </c>
      <c r="T7" s="64">
        <v>39.26283828309699</v>
      </c>
    </row>
    <row r="8" spans="2:20" ht="43.2" customHeight="1" x14ac:dyDescent="0.3">
      <c r="B8" s="63" t="s">
        <v>5</v>
      </c>
      <c r="C8" s="41">
        <v>0.46101045061603513</v>
      </c>
      <c r="D8" s="42">
        <v>4.6101045061603516</v>
      </c>
      <c r="E8" s="40">
        <v>0.24570368615286467</v>
      </c>
      <c r="F8" s="45">
        <v>2.4570368615286466</v>
      </c>
      <c r="G8" s="41">
        <v>9.7267594865914186E-2</v>
      </c>
      <c r="H8" s="42">
        <v>0.97267594865914186</v>
      </c>
      <c r="I8" s="133" t="s">
        <v>358</v>
      </c>
      <c r="J8" s="134">
        <v>10</v>
      </c>
      <c r="K8" s="135" t="s">
        <v>118</v>
      </c>
      <c r="L8" s="134">
        <v>5</v>
      </c>
      <c r="M8" s="135" t="s">
        <v>118</v>
      </c>
      <c r="N8" s="134">
        <v>5</v>
      </c>
      <c r="O8" s="133">
        <v>0</v>
      </c>
      <c r="P8" s="205">
        <v>0</v>
      </c>
      <c r="Q8" s="133">
        <v>0</v>
      </c>
      <c r="R8" s="208">
        <v>0</v>
      </c>
      <c r="S8" s="208">
        <v>0</v>
      </c>
      <c r="T8" s="64">
        <v>28.039817316348138</v>
      </c>
    </row>
    <row r="9" spans="2:20" ht="21" x14ac:dyDescent="0.3">
      <c r="B9" s="63" t="s">
        <v>4</v>
      </c>
      <c r="C9" s="41">
        <v>0</v>
      </c>
      <c r="D9" s="42">
        <v>0</v>
      </c>
      <c r="E9" s="40">
        <v>0</v>
      </c>
      <c r="F9" s="45">
        <v>0</v>
      </c>
      <c r="G9" s="41">
        <v>0</v>
      </c>
      <c r="H9" s="42">
        <v>0</v>
      </c>
      <c r="I9" s="133" t="s">
        <v>235</v>
      </c>
      <c r="J9" s="134">
        <v>5</v>
      </c>
      <c r="K9" s="135" t="s">
        <v>235</v>
      </c>
      <c r="L9" s="134">
        <v>5</v>
      </c>
      <c r="M9" s="135" t="s">
        <v>235</v>
      </c>
      <c r="N9" s="134">
        <v>5</v>
      </c>
      <c r="O9" s="133" t="s">
        <v>235</v>
      </c>
      <c r="P9" s="205">
        <v>5</v>
      </c>
      <c r="Q9" s="133" t="s">
        <v>235</v>
      </c>
      <c r="R9" s="208">
        <v>2.5</v>
      </c>
      <c r="S9" s="208">
        <v>7.5</v>
      </c>
      <c r="T9" s="64">
        <v>22.5</v>
      </c>
    </row>
    <row r="10" spans="2:20" ht="21" x14ac:dyDescent="0.3">
      <c r="B10" s="63" t="s">
        <v>9</v>
      </c>
      <c r="C10" s="41">
        <v>0</v>
      </c>
      <c r="D10" s="42">
        <v>0</v>
      </c>
      <c r="E10" s="40">
        <v>0</v>
      </c>
      <c r="F10" s="45">
        <v>0</v>
      </c>
      <c r="G10" s="41">
        <v>0</v>
      </c>
      <c r="H10" s="42">
        <v>0</v>
      </c>
      <c r="I10" s="47" t="s">
        <v>235</v>
      </c>
      <c r="J10" s="42">
        <v>5</v>
      </c>
      <c r="K10" s="39" t="s">
        <v>235</v>
      </c>
      <c r="L10" s="42">
        <v>5</v>
      </c>
      <c r="M10" s="39" t="s">
        <v>235</v>
      </c>
      <c r="N10" s="42">
        <v>5</v>
      </c>
      <c r="O10" s="47" t="s">
        <v>235</v>
      </c>
      <c r="P10" s="204">
        <v>5</v>
      </c>
      <c r="Q10" s="47" t="s">
        <v>235</v>
      </c>
      <c r="R10" s="207">
        <v>2.5</v>
      </c>
      <c r="S10" s="207">
        <v>7.5</v>
      </c>
      <c r="T10" s="64">
        <v>22.5</v>
      </c>
    </row>
    <row r="11" spans="2:20" ht="57.6" x14ac:dyDescent="0.3">
      <c r="B11" s="63" t="s">
        <v>8</v>
      </c>
      <c r="C11" s="41">
        <v>2.3696327945749076E-2</v>
      </c>
      <c r="D11" s="42">
        <v>0.23696327945749077</v>
      </c>
      <c r="E11" s="40">
        <v>0</v>
      </c>
      <c r="F11" s="45">
        <v>0</v>
      </c>
      <c r="G11" s="41">
        <v>0</v>
      </c>
      <c r="H11" s="42">
        <v>0</v>
      </c>
      <c r="I11" s="47" t="s">
        <v>239</v>
      </c>
      <c r="J11" s="42">
        <v>10</v>
      </c>
      <c r="K11" s="39" t="s">
        <v>111</v>
      </c>
      <c r="L11" s="42">
        <v>2.5</v>
      </c>
      <c r="M11" s="39">
        <v>0</v>
      </c>
      <c r="N11" s="42">
        <v>0</v>
      </c>
      <c r="O11" s="47" t="s">
        <v>393</v>
      </c>
      <c r="P11" s="204">
        <v>5</v>
      </c>
      <c r="Q11" s="47">
        <v>0</v>
      </c>
      <c r="R11" s="207">
        <v>0</v>
      </c>
      <c r="S11" s="207">
        <v>5</v>
      </c>
      <c r="T11" s="64">
        <v>17.736963279457491</v>
      </c>
    </row>
    <row r="12" spans="2:20" ht="28.8" x14ac:dyDescent="0.3">
      <c r="B12" s="63" t="s">
        <v>11</v>
      </c>
      <c r="C12" s="41">
        <v>8.6133075749990282E-2</v>
      </c>
      <c r="D12" s="42">
        <v>0.86133075749990284</v>
      </c>
      <c r="E12" s="40">
        <v>0</v>
      </c>
      <c r="F12" s="45">
        <v>0</v>
      </c>
      <c r="G12" s="41">
        <v>0</v>
      </c>
      <c r="H12" s="42">
        <v>0</v>
      </c>
      <c r="I12" s="47" t="s">
        <v>118</v>
      </c>
      <c r="J12" s="42">
        <v>5</v>
      </c>
      <c r="K12" s="46">
        <v>0</v>
      </c>
      <c r="L12" s="42">
        <v>0</v>
      </c>
      <c r="M12" s="46">
        <v>0</v>
      </c>
      <c r="N12" s="42">
        <v>0</v>
      </c>
      <c r="O12" s="47" t="s">
        <v>377</v>
      </c>
      <c r="P12" s="204">
        <v>5</v>
      </c>
      <c r="Q12" s="47" t="s">
        <v>278</v>
      </c>
      <c r="R12" s="207">
        <v>5</v>
      </c>
      <c r="S12" s="207">
        <v>10</v>
      </c>
      <c r="T12" s="64">
        <v>15.861330757499903</v>
      </c>
    </row>
    <row r="13" spans="2:20" ht="43.2" x14ac:dyDescent="0.3">
      <c r="B13" s="63" t="s">
        <v>1</v>
      </c>
      <c r="C13" s="41">
        <v>8.5060220183778346E-2</v>
      </c>
      <c r="D13" s="42">
        <v>0.85060220183778346</v>
      </c>
      <c r="E13" s="40">
        <v>0</v>
      </c>
      <c r="F13" s="45">
        <v>0</v>
      </c>
      <c r="G13" s="41">
        <v>0</v>
      </c>
      <c r="H13" s="42">
        <v>0</v>
      </c>
      <c r="I13" s="47" t="s">
        <v>400</v>
      </c>
      <c r="J13" s="42">
        <v>10</v>
      </c>
      <c r="K13" s="46">
        <v>0</v>
      </c>
      <c r="L13" s="42">
        <v>0</v>
      </c>
      <c r="M13" s="46">
        <v>0</v>
      </c>
      <c r="N13" s="42">
        <v>0</v>
      </c>
      <c r="O13" s="47">
        <v>0</v>
      </c>
      <c r="P13" s="204">
        <v>0</v>
      </c>
      <c r="Q13" s="47">
        <v>0</v>
      </c>
      <c r="R13" s="207">
        <v>0</v>
      </c>
      <c r="S13" s="207">
        <v>0</v>
      </c>
      <c r="T13" s="64">
        <v>10.850602201837784</v>
      </c>
    </row>
    <row r="14" spans="2:20" ht="43.8" customHeight="1" thickBot="1" x14ac:dyDescent="0.35">
      <c r="B14" s="65" t="s">
        <v>3</v>
      </c>
      <c r="C14" s="43">
        <v>0</v>
      </c>
      <c r="D14" s="44">
        <v>0</v>
      </c>
      <c r="E14" s="66">
        <v>0</v>
      </c>
      <c r="F14" s="67">
        <v>0</v>
      </c>
      <c r="G14" s="43">
        <v>0</v>
      </c>
      <c r="H14" s="44">
        <v>0</v>
      </c>
      <c r="I14" s="48">
        <v>0</v>
      </c>
      <c r="J14" s="44">
        <v>0</v>
      </c>
      <c r="K14" s="68" t="s">
        <v>278</v>
      </c>
      <c r="L14" s="44">
        <v>10</v>
      </c>
      <c r="M14" s="68">
        <v>0</v>
      </c>
      <c r="N14" s="44">
        <v>0</v>
      </c>
      <c r="O14" s="48">
        <v>0</v>
      </c>
      <c r="P14" s="206">
        <v>0</v>
      </c>
      <c r="Q14" s="48">
        <v>0</v>
      </c>
      <c r="R14" s="209">
        <v>0</v>
      </c>
      <c r="S14" s="209">
        <v>0</v>
      </c>
      <c r="T14" s="252">
        <v>10</v>
      </c>
    </row>
    <row r="15" spans="2:20" s="128" customFormat="1" ht="15.6" customHeight="1" thickBot="1" x14ac:dyDescent="0.35">
      <c r="B15"/>
      <c r="C15"/>
      <c r="D15"/>
      <c r="E15"/>
      <c r="F15"/>
      <c r="G15"/>
      <c r="H15"/>
      <c r="I15"/>
      <c r="J15"/>
      <c r="K15"/>
      <c r="L15"/>
      <c r="M15"/>
      <c r="N15"/>
      <c r="O15"/>
      <c r="P15"/>
      <c r="Q15"/>
      <c r="R15"/>
      <c r="S15"/>
      <c r="T15"/>
    </row>
    <row r="16" spans="2:20" ht="15" thickBot="1" x14ac:dyDescent="0.35">
      <c r="R16" s="280" t="s">
        <v>686</v>
      </c>
      <c r="S16" s="283"/>
      <c r="T16" s="279">
        <f>AVERAGE(T3:T14)</f>
        <v>29.721174368391988</v>
      </c>
    </row>
    <row r="17" spans="3:19" x14ac:dyDescent="0.3">
      <c r="C17" s="10"/>
      <c r="I17" s="10"/>
      <c r="J17" s="10"/>
      <c r="O17" s="10"/>
      <c r="P17" s="10"/>
      <c r="Q17" s="10"/>
      <c r="R17" s="10"/>
      <c r="S17" s="10"/>
    </row>
    <row r="18" spans="3:19" x14ac:dyDescent="0.3">
      <c r="O18" s="11"/>
      <c r="Q18" s="11"/>
    </row>
    <row r="19" spans="3:19" x14ac:dyDescent="0.3">
      <c r="O19" s="11"/>
      <c r="P19" s="11"/>
      <c r="Q19" s="11"/>
      <c r="R19" s="11"/>
      <c r="S19" s="11"/>
    </row>
    <row r="20" spans="3:19" x14ac:dyDescent="0.3">
      <c r="P20" s="11"/>
      <c r="Q20" s="11"/>
      <c r="R20" s="11"/>
      <c r="S20" s="11"/>
    </row>
  </sheetData>
  <autoFilter ref="B2:T14" xr:uid="{148E4315-2F44-4CA6-807E-355FA6A565E2}">
    <sortState xmlns:xlrd2="http://schemas.microsoft.com/office/spreadsheetml/2017/richdata2" ref="B3:T14">
      <sortCondition descending="1" ref="T2:T14"/>
    </sortState>
  </autoFilter>
  <conditionalFormatting sqref="D3:D14">
    <cfRule type="colorScale" priority="30">
      <colorScale>
        <cfvo type="min"/>
        <cfvo type="num" val="5"/>
        <color rgb="FFFCFCFF"/>
        <color rgb="FF63BE7B"/>
      </colorScale>
    </cfRule>
  </conditionalFormatting>
  <conditionalFormatting sqref="F3:F14">
    <cfRule type="colorScale" priority="32">
      <colorScale>
        <cfvo type="min"/>
        <cfvo type="num" val="5"/>
        <color rgb="FFFCFCFF"/>
        <color rgb="FF63BE7B"/>
      </colorScale>
    </cfRule>
  </conditionalFormatting>
  <conditionalFormatting sqref="H3:H14">
    <cfRule type="colorScale" priority="34">
      <colorScale>
        <cfvo type="min"/>
        <cfvo type="num" val="5"/>
        <color rgb="FFFCFCFF"/>
        <color rgb="FF63BE7B"/>
      </colorScale>
    </cfRule>
  </conditionalFormatting>
  <conditionalFormatting sqref="T3:T14">
    <cfRule type="colorScale" priority="40">
      <colorScale>
        <cfvo type="min"/>
        <cfvo type="num" val="60"/>
        <color rgb="FFFCFCFF"/>
        <color rgb="FF63BE7B"/>
      </colorScale>
    </cfRule>
  </conditionalFormatting>
  <conditionalFormatting sqref="J3:J14">
    <cfRule type="colorScale" priority="23">
      <colorScale>
        <cfvo type="min"/>
        <cfvo type="num" val="8"/>
        <color rgb="FFFCFCFF"/>
        <color rgb="FF63BE7B"/>
      </colorScale>
    </cfRule>
  </conditionalFormatting>
  <conditionalFormatting sqref="L3:L14">
    <cfRule type="colorScale" priority="22">
      <colorScale>
        <cfvo type="min"/>
        <cfvo type="num" val="10"/>
        <color rgb="FFFCFCFF"/>
        <color rgb="FF63BE7B"/>
      </colorScale>
    </cfRule>
  </conditionalFormatting>
  <conditionalFormatting sqref="P3:P14">
    <cfRule type="colorScale" priority="6">
      <colorScale>
        <cfvo type="min"/>
        <cfvo type="max"/>
        <color rgb="FFFCFCFF"/>
        <color rgb="FF63BE7B"/>
      </colorScale>
    </cfRule>
  </conditionalFormatting>
  <conditionalFormatting sqref="R3:S14">
    <cfRule type="colorScale" priority="2">
      <colorScale>
        <cfvo type="min"/>
        <cfvo type="num" val="5"/>
        <color rgb="FFFCFCFF"/>
        <color rgb="FF63BE7B"/>
      </colorScale>
    </cfRule>
  </conditionalFormatting>
  <conditionalFormatting sqref="B3:T14">
    <cfRule type="cellIs" dxfId="18" priority="1" operator="equal">
      <formula>0</formula>
    </cfRule>
  </conditionalFormatting>
  <conditionalFormatting sqref="N3:N14">
    <cfRule type="colorScale" priority="41">
      <colorScale>
        <cfvo type="min"/>
        <cfvo type="num" val="6"/>
        <color rgb="FFFCFCFF"/>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Resilience ranking =&gt;</vt:lpstr>
      <vt:lpstr>Methodology - resilience</vt:lpstr>
      <vt:lpstr>Resilience recap</vt:lpstr>
      <vt:lpstr>EU resilience</vt:lpstr>
      <vt:lpstr>Supply chain ranking =&gt;</vt:lpstr>
      <vt:lpstr>Methodology</vt:lpstr>
      <vt:lpstr>Recap</vt:lpstr>
      <vt:lpstr>Recap (detailed)</vt:lpstr>
      <vt:lpstr>Batt. material supply chain</vt:lpstr>
      <vt:lpstr>Battery materials details</vt:lpstr>
      <vt:lpstr>Units conversion</vt:lpstr>
      <vt:lpstr>Battery cell strategy</vt:lpstr>
      <vt:lpstr>Battery cell manufacturing</vt:lpstr>
      <vt:lpstr>Battery chemistry</vt:lpstr>
      <vt:lpstr>Battery recycling</vt:lpstr>
      <vt:lpstr>Responsible supply chain</vt:lpstr>
      <vt:lpstr>Responsible supply chain 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2023-11-29T08:44:39Z</dcterms:modified>
</cp:coreProperties>
</file>